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cbeb291816f3e18e/Documentos/A_PRSEP/3.PRSEP_PTBA 2025/"/>
    </mc:Choice>
  </mc:AlternateContent>
  <xr:revisionPtr revIDLastSave="8" documentId="13_ncr:1_{BF794004-5884-4AA1-B69F-F3AFF2471334}" xr6:coauthVersionLast="47" xr6:coauthVersionMax="47" xr10:uidLastSave="{5CCDDABF-F55F-4FEB-834D-7E364AAE767A}"/>
  <bookViews>
    <workbookView xWindow="-110" yWindow="-110" windowWidth="19420" windowHeight="11500" xr2:uid="{010DF11B-F07C-4B71-8EE9-485B05D3CD24}"/>
  </bookViews>
  <sheets>
    <sheet name="PforR FPI 2024_atelier" sheetId="5" r:id="rId1"/>
    <sheet name="Synthèse" sheetId="6" r:id="rId2"/>
  </sheets>
  <externalReferences>
    <externalReference r:id="rId3"/>
  </externalReferences>
  <definedNames>
    <definedName name="_xlnm._FilterDatabase" localSheetId="0" hidden="1">'PforR FPI 2024_atelier'!$AJ$1:$AJ$808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2" i="5" l="1"/>
  <c r="V115" i="5"/>
  <c r="P115" i="5"/>
  <c r="Q115" i="5"/>
  <c r="N115" i="5"/>
  <c r="V114" i="5"/>
  <c r="AL67" i="5"/>
  <c r="AK67" i="5"/>
  <c r="AM62" i="5" l="1"/>
  <c r="AN61" i="5"/>
  <c r="AM60" i="5"/>
  <c r="AM59" i="5"/>
  <c r="AU47" i="5"/>
  <c r="AQ38" i="5"/>
  <c r="AS37" i="5"/>
  <c r="AP37" i="5"/>
  <c r="AK37" i="5"/>
  <c r="AP36" i="5"/>
  <c r="AL36" i="5"/>
  <c r="AP35" i="5"/>
  <c r="AL35" i="5"/>
  <c r="AN33" i="5"/>
  <c r="AO33" i="5"/>
  <c r="AP33" i="5"/>
  <c r="AQ33" i="5"/>
  <c r="AR33" i="5"/>
  <c r="AS33" i="5"/>
  <c r="AM33" i="5"/>
  <c r="AL33" i="5"/>
  <c r="AK33" i="5"/>
  <c r="AK26" i="5"/>
  <c r="AK27" i="5"/>
  <c r="AK25" i="5"/>
  <c r="AQ12" i="5"/>
  <c r="AN11" i="5"/>
  <c r="AL11" i="5"/>
  <c r="AR10" i="5"/>
  <c r="AL9" i="5"/>
  <c r="AL75" i="5"/>
  <c r="AM77" i="5"/>
  <c r="AU81" i="5"/>
  <c r="AT81" i="5"/>
  <c r="AR81" i="5"/>
  <c r="AP79" i="5"/>
  <c r="AO81" i="5"/>
  <c r="AM80" i="5"/>
  <c r="AL79" i="5"/>
  <c r="AQ85" i="5"/>
  <c r="AO85" i="5"/>
  <c r="AN85" i="5"/>
  <c r="AU84" i="5"/>
  <c r="AL84" i="5"/>
  <c r="AT100" i="5"/>
  <c r="AQ100" i="5"/>
  <c r="AN100" i="5"/>
  <c r="AM104" i="5"/>
  <c r="AN103" i="5"/>
  <c r="AS113" i="5" l="1"/>
  <c r="AP113" i="5"/>
  <c r="AM113" i="5"/>
  <c r="AL112" i="5"/>
  <c r="AS128" i="5"/>
  <c r="AP128" i="5"/>
  <c r="AM128" i="5"/>
  <c r="AQ122" i="5"/>
  <c r="AN133" i="5"/>
  <c r="AL132" i="5"/>
  <c r="AP127" i="5"/>
  <c r="AM126" i="5"/>
  <c r="AL138" i="5"/>
  <c r="AU148" i="5"/>
  <c r="AN148" i="5"/>
  <c r="AO152" i="5" l="1"/>
  <c r="AN151" i="5"/>
  <c r="AM150" i="5"/>
  <c r="AO249" i="5"/>
  <c r="AL249" i="5"/>
  <c r="AN245" i="5"/>
  <c r="AL232" i="5"/>
  <c r="AK232" i="5"/>
  <c r="AQ235" i="5"/>
  <c r="AM235" i="5"/>
  <c r="AM227" i="5"/>
  <c r="AN227" i="5"/>
  <c r="AO227" i="5"/>
  <c r="AP227" i="5"/>
  <c r="AQ227" i="5"/>
  <c r="AR227" i="5"/>
  <c r="AS227" i="5"/>
  <c r="AT227" i="5"/>
  <c r="AU227" i="5"/>
  <c r="AV227" i="5"/>
  <c r="AL227" i="5"/>
  <c r="AL202" i="5"/>
  <c r="AU186" i="5"/>
  <c r="AP186" i="5"/>
  <c r="AL179" i="5"/>
  <c r="AM179" i="5"/>
  <c r="AN179" i="5"/>
  <c r="AO179" i="5"/>
  <c r="AP179" i="5"/>
  <c r="AQ179" i="5"/>
  <c r="AR179" i="5"/>
  <c r="AS179" i="5"/>
  <c r="AT179" i="5"/>
  <c r="AU179" i="5"/>
  <c r="AV179" i="5"/>
  <c r="AK179" i="5"/>
  <c r="AM183" i="5"/>
  <c r="AN175" i="5"/>
  <c r="AO175" i="5"/>
  <c r="AP175" i="5"/>
  <c r="AQ175" i="5"/>
  <c r="AR175" i="5"/>
  <c r="AS175" i="5"/>
  <c r="AT175" i="5"/>
  <c r="AU175" i="5"/>
  <c r="AV175" i="5"/>
  <c r="AM175" i="5"/>
  <c r="AM174" i="5"/>
  <c r="AV174" i="5"/>
  <c r="AU174" i="5"/>
  <c r="AT174" i="5"/>
  <c r="AS174" i="5"/>
  <c r="AR174" i="5"/>
  <c r="AQ174" i="5"/>
  <c r="AP174" i="5"/>
  <c r="AO174" i="5"/>
  <c r="AN174" i="5"/>
  <c r="AL174" i="5"/>
  <c r="AL173" i="5"/>
  <c r="AM173" i="5" s="1"/>
  <c r="AN173" i="5" s="1"/>
  <c r="AO173" i="5" s="1"/>
  <c r="AP173" i="5" s="1"/>
  <c r="AQ173" i="5" s="1"/>
  <c r="AR173" i="5" s="1"/>
  <c r="AS173" i="5" s="1"/>
  <c r="AT173" i="5" s="1"/>
  <c r="AU173" i="5" s="1"/>
  <c r="AV173" i="5" s="1"/>
  <c r="AN171" i="5"/>
  <c r="AO171" i="5"/>
  <c r="AP171" i="5"/>
  <c r="AQ171" i="5"/>
  <c r="AR171" i="5"/>
  <c r="AS171" i="5"/>
  <c r="AT171" i="5"/>
  <c r="AU171" i="5" s="1"/>
  <c r="AV171" i="5" s="1"/>
  <c r="AM168" i="5"/>
  <c r="AN168" i="5" s="1"/>
  <c r="AO168" i="5" s="1"/>
  <c r="AP168" i="5" s="1"/>
  <c r="AQ168" i="5" s="1"/>
  <c r="AR168" i="5" s="1"/>
  <c r="AS168" i="5" s="1"/>
  <c r="AT168" i="5" s="1"/>
  <c r="AU168" i="5" s="1"/>
  <c r="AV168" i="5" s="1"/>
  <c r="AM169" i="5"/>
  <c r="AN169" i="5" s="1"/>
  <c r="AO169" i="5" s="1"/>
  <c r="AP169" i="5" s="1"/>
  <c r="AQ169" i="5" s="1"/>
  <c r="AR169" i="5" s="1"/>
  <c r="AS169" i="5" s="1"/>
  <c r="AT169" i="5" s="1"/>
  <c r="AU169" i="5" s="1"/>
  <c r="AV169" i="5" s="1"/>
  <c r="AM170" i="5"/>
  <c r="AN170" i="5" s="1"/>
  <c r="AO170" i="5" s="1"/>
  <c r="AP170" i="5" s="1"/>
  <c r="AQ170" i="5" s="1"/>
  <c r="AR170" i="5" s="1"/>
  <c r="AS170" i="5" s="1"/>
  <c r="AT170" i="5" s="1"/>
  <c r="AU170" i="5" s="1"/>
  <c r="AV170" i="5" s="1"/>
  <c r="AM171" i="5"/>
  <c r="AM164" i="5"/>
  <c r="AN164" i="5" s="1"/>
  <c r="AO164" i="5" s="1"/>
  <c r="AP164" i="5" s="1"/>
  <c r="AQ164" i="5" s="1"/>
  <c r="AR164" i="5" s="1"/>
  <c r="AS164" i="5" s="1"/>
  <c r="AT164" i="5" s="1"/>
  <c r="AU164" i="5" s="1"/>
  <c r="AV164" i="5" s="1"/>
  <c r="AM160" i="5"/>
  <c r="AN160" i="5"/>
  <c r="AO160" i="5"/>
  <c r="AP160" i="5"/>
  <c r="AQ160" i="5"/>
  <c r="AR160" i="5"/>
  <c r="AS160" i="5"/>
  <c r="AT160" i="5"/>
  <c r="AU160" i="5"/>
  <c r="AV160" i="5"/>
  <c r="AM161" i="5"/>
  <c r="AN161" i="5"/>
  <c r="AO161" i="5" s="1"/>
  <c r="AP161" i="5" s="1"/>
  <c r="AQ161" i="5" s="1"/>
  <c r="AR161" i="5" s="1"/>
  <c r="AS161" i="5" s="1"/>
  <c r="AT161" i="5" s="1"/>
  <c r="AU161" i="5" s="1"/>
  <c r="AV161" i="5" s="1"/>
  <c r="AM162" i="5"/>
  <c r="AN162" i="5"/>
  <c r="AO162" i="5"/>
  <c r="AP162" i="5"/>
  <c r="AQ162" i="5"/>
  <c r="AR162" i="5"/>
  <c r="AS162" i="5"/>
  <c r="AT162" i="5"/>
  <c r="AU162" i="5" s="1"/>
  <c r="AV162" i="5" s="1"/>
  <c r="AM163" i="5"/>
  <c r="AN163" i="5" s="1"/>
  <c r="AO163" i="5" s="1"/>
  <c r="AP163" i="5" s="1"/>
  <c r="AQ163" i="5" s="1"/>
  <c r="AR163" i="5" s="1"/>
  <c r="AS163" i="5" s="1"/>
  <c r="AT163" i="5" s="1"/>
  <c r="AU163" i="5" s="1"/>
  <c r="AV163" i="5" s="1"/>
  <c r="AM159" i="5"/>
  <c r="AN159" i="5" s="1"/>
  <c r="AO159" i="5" s="1"/>
  <c r="AP159" i="5" s="1"/>
  <c r="AQ159" i="5" s="1"/>
  <c r="AR159" i="5" s="1"/>
  <c r="AS159" i="5" s="1"/>
  <c r="AT159" i="5" s="1"/>
  <c r="AU159" i="5" s="1"/>
  <c r="AV159" i="5" s="1"/>
  <c r="AS157" i="5"/>
  <c r="AT157" i="5" s="1"/>
  <c r="AU157" i="5" s="1"/>
  <c r="AV157" i="5" s="1"/>
  <c r="AM158" i="5"/>
  <c r="AN158" i="5" s="1"/>
  <c r="AO158" i="5" s="1"/>
  <c r="AP158" i="5" s="1"/>
  <c r="AQ158" i="5" s="1"/>
  <c r="AR158" i="5" s="1"/>
  <c r="AS158" i="5" s="1"/>
  <c r="AT158" i="5" s="1"/>
  <c r="AU158" i="5" s="1"/>
  <c r="AV158" i="5" s="1"/>
  <c r="AR157" i="5"/>
  <c r="AL250" i="5" l="1"/>
  <c r="AM250" i="5"/>
  <c r="AN250" i="5"/>
  <c r="AO250" i="5"/>
  <c r="AP250" i="5"/>
  <c r="AQ250" i="5"/>
  <c r="AR250" i="5"/>
  <c r="AS250" i="5"/>
  <c r="AT250" i="5"/>
  <c r="AU250" i="5"/>
  <c r="AV250" i="5"/>
  <c r="AL253" i="5"/>
  <c r="AM253" i="5"/>
  <c r="AN253" i="5"/>
  <c r="AO253" i="5"/>
  <c r="AP253" i="5"/>
  <c r="AQ253" i="5"/>
  <c r="AR253" i="5"/>
  <c r="AS253" i="5"/>
  <c r="AT253" i="5"/>
  <c r="AU253" i="5"/>
  <c r="AV253" i="5"/>
  <c r="AK253" i="5"/>
  <c r="AK250" i="5"/>
  <c r="AU225" i="5"/>
  <c r="AV225" i="5"/>
  <c r="AL226" i="5"/>
  <c r="AM226" i="5"/>
  <c r="AN226" i="5"/>
  <c r="AO226" i="5"/>
  <c r="AP226" i="5"/>
  <c r="AQ226" i="5"/>
  <c r="AR226" i="5"/>
  <c r="AR225" i="5" s="1"/>
  <c r="AS226" i="5"/>
  <c r="AT226" i="5"/>
  <c r="AU226" i="5"/>
  <c r="AV226" i="5"/>
  <c r="AL231" i="5"/>
  <c r="AM231" i="5"/>
  <c r="AN231" i="5"/>
  <c r="AO231" i="5"/>
  <c r="AP231" i="5"/>
  <c r="AQ231" i="5"/>
  <c r="AR231" i="5"/>
  <c r="AS231" i="5"/>
  <c r="AT231" i="5"/>
  <c r="AU231" i="5"/>
  <c r="AV231" i="5"/>
  <c r="AL236" i="5"/>
  <c r="AM236" i="5"/>
  <c r="AN236" i="5"/>
  <c r="AO236" i="5"/>
  <c r="AP236" i="5"/>
  <c r="AQ236" i="5"/>
  <c r="AR236" i="5"/>
  <c r="AS236" i="5"/>
  <c r="AT236" i="5"/>
  <c r="AU236" i="5"/>
  <c r="AV236" i="5"/>
  <c r="AK236" i="5"/>
  <c r="AK231" i="5"/>
  <c r="AK225" i="5" s="1"/>
  <c r="AK226" i="5"/>
  <c r="AL180" i="5"/>
  <c r="AM180" i="5"/>
  <c r="AN180" i="5"/>
  <c r="AO180" i="5"/>
  <c r="AP180" i="5"/>
  <c r="AQ180" i="5"/>
  <c r="AR180" i="5"/>
  <c r="AS180" i="5"/>
  <c r="AT180" i="5"/>
  <c r="AU180" i="5"/>
  <c r="AV180" i="5"/>
  <c r="AL185" i="5"/>
  <c r="AM185" i="5"/>
  <c r="AN185" i="5"/>
  <c r="AO185" i="5"/>
  <c r="AP185" i="5"/>
  <c r="AQ185" i="5"/>
  <c r="AR185" i="5"/>
  <c r="AS185" i="5"/>
  <c r="AT185" i="5"/>
  <c r="AU185" i="5"/>
  <c r="AV185" i="5"/>
  <c r="AL188" i="5"/>
  <c r="AM188" i="5"/>
  <c r="AN188" i="5"/>
  <c r="AO188" i="5"/>
  <c r="AP188" i="5"/>
  <c r="AQ188" i="5"/>
  <c r="AR188" i="5"/>
  <c r="AS188" i="5"/>
  <c r="AT188" i="5"/>
  <c r="AU188" i="5"/>
  <c r="AV188" i="5"/>
  <c r="AK188" i="5"/>
  <c r="AK185" i="5"/>
  <c r="AK180" i="5"/>
  <c r="AL156" i="5"/>
  <c r="AL155" i="5" s="1"/>
  <c r="AK156" i="5"/>
  <c r="AK155" i="5" s="1"/>
  <c r="AL137" i="5"/>
  <c r="AM137" i="5"/>
  <c r="AN137" i="5"/>
  <c r="AO137" i="5"/>
  <c r="AP137" i="5"/>
  <c r="AQ137" i="5"/>
  <c r="AR137" i="5"/>
  <c r="AS137" i="5"/>
  <c r="AT137" i="5"/>
  <c r="AU137" i="5"/>
  <c r="AV137" i="5"/>
  <c r="AK137" i="5"/>
  <c r="AM167" i="5"/>
  <c r="AN167" i="5" s="1"/>
  <c r="AO167" i="5" s="1"/>
  <c r="AP167" i="5" s="1"/>
  <c r="AQ167" i="5" s="1"/>
  <c r="AR167" i="5" s="1"/>
  <c r="AS167" i="5" s="1"/>
  <c r="AT167" i="5" s="1"/>
  <c r="AU167" i="5" s="1"/>
  <c r="AV167" i="5" s="1"/>
  <c r="AM166" i="5"/>
  <c r="AN166" i="5" s="1"/>
  <c r="AO166" i="5" s="1"/>
  <c r="AP166" i="5" s="1"/>
  <c r="AQ166" i="5" s="1"/>
  <c r="AR166" i="5" s="1"/>
  <c r="AS166" i="5" s="1"/>
  <c r="AT166" i="5" s="1"/>
  <c r="AU166" i="5" s="1"/>
  <c r="AV166" i="5" s="1"/>
  <c r="AM165" i="5"/>
  <c r="AN165" i="5" s="1"/>
  <c r="AO165" i="5" s="1"/>
  <c r="AP165" i="5" s="1"/>
  <c r="AQ165" i="5" s="1"/>
  <c r="AR165" i="5" s="1"/>
  <c r="AS165" i="5" s="1"/>
  <c r="AT165" i="5" s="1"/>
  <c r="AU165" i="5" s="1"/>
  <c r="AV165" i="5" s="1"/>
  <c r="AV156" i="5" s="1"/>
  <c r="AV155" i="5" s="1"/>
  <c r="AO118" i="5"/>
  <c r="AP118" i="5"/>
  <c r="AQ118" i="5"/>
  <c r="AR118" i="5"/>
  <c r="AS118" i="5"/>
  <c r="AT118" i="5"/>
  <c r="AU118" i="5" s="1"/>
  <c r="AV118" i="5" s="1"/>
  <c r="AW118" i="5" s="1"/>
  <c r="AO119" i="5"/>
  <c r="AP119" i="5" s="1"/>
  <c r="AQ119" i="5" s="1"/>
  <c r="AR119" i="5" s="1"/>
  <c r="AS119" i="5" s="1"/>
  <c r="AT119" i="5" s="1"/>
  <c r="AU119" i="5" s="1"/>
  <c r="AV119" i="5" s="1"/>
  <c r="AW119" i="5" s="1"/>
  <c r="AN119" i="5"/>
  <c r="AN118" i="5"/>
  <c r="AN117" i="5"/>
  <c r="AM119" i="5"/>
  <c r="AM118" i="5"/>
  <c r="AL117" i="5"/>
  <c r="AL98" i="5" s="1"/>
  <c r="AK117" i="5"/>
  <c r="AL95" i="5"/>
  <c r="AM95" i="5"/>
  <c r="AN95" i="5"/>
  <c r="AO95" i="5"/>
  <c r="AP95" i="5"/>
  <c r="AQ95" i="5"/>
  <c r="AR95" i="5"/>
  <c r="AS95" i="5"/>
  <c r="AT95" i="5"/>
  <c r="AU95" i="5"/>
  <c r="AV95" i="5"/>
  <c r="AL99" i="5"/>
  <c r="AM99" i="5"/>
  <c r="AN99" i="5"/>
  <c r="AQ99" i="5"/>
  <c r="AR99" i="5"/>
  <c r="AT99" i="5"/>
  <c r="AU99" i="5"/>
  <c r="AV99" i="5"/>
  <c r="AL102" i="5"/>
  <c r="AM102" i="5"/>
  <c r="AN102" i="5"/>
  <c r="AO102" i="5"/>
  <c r="AP102" i="5"/>
  <c r="AQ102" i="5"/>
  <c r="AR102" i="5"/>
  <c r="AS102" i="5"/>
  <c r="AT102" i="5"/>
  <c r="AU102" i="5"/>
  <c r="AV102" i="5"/>
  <c r="AK102" i="5"/>
  <c r="AK99" i="5"/>
  <c r="AK95" i="5"/>
  <c r="AL86" i="5"/>
  <c r="AM86" i="5"/>
  <c r="AN86" i="5"/>
  <c r="AO86" i="5"/>
  <c r="AP86" i="5"/>
  <c r="AQ86" i="5"/>
  <c r="AR86" i="5"/>
  <c r="AS86" i="5"/>
  <c r="AT86" i="5"/>
  <c r="AU86" i="5"/>
  <c r="AV86" i="5"/>
  <c r="AK86" i="5"/>
  <c r="AL76" i="5"/>
  <c r="AM76" i="5"/>
  <c r="AN76" i="5"/>
  <c r="AO76" i="5"/>
  <c r="AP76" i="5"/>
  <c r="AQ76" i="5"/>
  <c r="AR76" i="5"/>
  <c r="AS76" i="5"/>
  <c r="AT76" i="5"/>
  <c r="AU76" i="5"/>
  <c r="AV76" i="5"/>
  <c r="AL78" i="5"/>
  <c r="AM78" i="5"/>
  <c r="AN78" i="5"/>
  <c r="AO78" i="5"/>
  <c r="AP78" i="5"/>
  <c r="AQ78" i="5"/>
  <c r="AR78" i="5"/>
  <c r="AS78" i="5"/>
  <c r="AT78" i="5"/>
  <c r="AU78" i="5"/>
  <c r="AV78" i="5"/>
  <c r="AK78" i="5"/>
  <c r="AK76" i="5"/>
  <c r="AL70" i="5"/>
  <c r="AM70" i="5"/>
  <c r="AN70" i="5"/>
  <c r="AO70" i="5"/>
  <c r="AP70" i="5"/>
  <c r="AQ70" i="5"/>
  <c r="AR70" i="5"/>
  <c r="AS70" i="5"/>
  <c r="AT70" i="5"/>
  <c r="AU70" i="5"/>
  <c r="AV70" i="5"/>
  <c r="AL72" i="5"/>
  <c r="AM72" i="5"/>
  <c r="AN72" i="5"/>
  <c r="AO72" i="5"/>
  <c r="AP72" i="5"/>
  <c r="AQ72" i="5"/>
  <c r="AR72" i="5"/>
  <c r="AS72" i="5"/>
  <c r="AT72" i="5"/>
  <c r="AU72" i="5"/>
  <c r="AV72" i="5"/>
  <c r="AL74" i="5"/>
  <c r="AM74" i="5"/>
  <c r="AN74" i="5"/>
  <c r="AO74" i="5"/>
  <c r="AP74" i="5"/>
  <c r="AQ74" i="5"/>
  <c r="AR74" i="5"/>
  <c r="AS74" i="5"/>
  <c r="AT74" i="5"/>
  <c r="AU74" i="5"/>
  <c r="AV74" i="5"/>
  <c r="AK74" i="5"/>
  <c r="AK72" i="5"/>
  <c r="AK70" i="5"/>
  <c r="AL52" i="5"/>
  <c r="AM52" i="5"/>
  <c r="AN52" i="5"/>
  <c r="AO52" i="5"/>
  <c r="AP52" i="5"/>
  <c r="AQ52" i="5"/>
  <c r="AR52" i="5"/>
  <c r="AS52" i="5"/>
  <c r="AT52" i="5"/>
  <c r="AU52" i="5"/>
  <c r="AV52" i="5"/>
  <c r="AL55" i="5"/>
  <c r="AM55" i="5"/>
  <c r="AN55" i="5"/>
  <c r="AO55" i="5"/>
  <c r="AP55" i="5"/>
  <c r="AQ55" i="5"/>
  <c r="AR55" i="5"/>
  <c r="AS55" i="5"/>
  <c r="AT55" i="5"/>
  <c r="AU55" i="5"/>
  <c r="AV55" i="5"/>
  <c r="AK55" i="5"/>
  <c r="AK52" i="5"/>
  <c r="AL39" i="5"/>
  <c r="AM39" i="5"/>
  <c r="AN39" i="5"/>
  <c r="AO39" i="5"/>
  <c r="AP39" i="5"/>
  <c r="AQ39" i="5"/>
  <c r="AR39" i="5"/>
  <c r="AS39" i="5"/>
  <c r="AT39" i="5"/>
  <c r="AU39" i="5"/>
  <c r="AV39" i="5"/>
  <c r="AW39" i="5"/>
  <c r="AK39" i="5"/>
  <c r="AL8" i="5"/>
  <c r="AM8" i="5"/>
  <c r="AN8" i="5"/>
  <c r="AO8" i="5"/>
  <c r="AP8" i="5"/>
  <c r="AQ8" i="5"/>
  <c r="AR8" i="5"/>
  <c r="AS8" i="5"/>
  <c r="AT8" i="5"/>
  <c r="AU8" i="5"/>
  <c r="AV8" i="5"/>
  <c r="AK8" i="5"/>
  <c r="P134" i="5"/>
  <c r="Q134" i="5"/>
  <c r="L207" i="5"/>
  <c r="M74" i="5"/>
  <c r="N74" i="5"/>
  <c r="O74" i="5"/>
  <c r="B16" i="6"/>
  <c r="V21" i="5"/>
  <c r="J21" i="5"/>
  <c r="L21" i="5" s="1"/>
  <c r="P21" i="5"/>
  <c r="H21" i="5"/>
  <c r="V49" i="5"/>
  <c r="AU156" i="5" l="1"/>
  <c r="AU155" i="5" s="1"/>
  <c r="AT156" i="5"/>
  <c r="AT155" i="5" s="1"/>
  <c r="AQ156" i="5"/>
  <c r="AQ155" i="5" s="1"/>
  <c r="AN156" i="5"/>
  <c r="AN155" i="5" s="1"/>
  <c r="AM156" i="5"/>
  <c r="AM155" i="5" s="1"/>
  <c r="AS156" i="5"/>
  <c r="AS155" i="5" s="1"/>
  <c r="AR156" i="5"/>
  <c r="AR155" i="5" s="1"/>
  <c r="AP156" i="5"/>
  <c r="AP155" i="5" s="1"/>
  <c r="AO156" i="5"/>
  <c r="AO155" i="5" s="1"/>
  <c r="AN98" i="5"/>
  <c r="AK98" i="5"/>
  <c r="AS225" i="5"/>
  <c r="AS154" i="5"/>
  <c r="AR154" i="5"/>
  <c r="AV154" i="5"/>
  <c r="AQ225" i="5"/>
  <c r="AN225" i="5"/>
  <c r="AP225" i="5"/>
  <c r="AM225" i="5"/>
  <c r="AO225" i="5"/>
  <c r="AL225" i="5"/>
  <c r="AT225" i="5"/>
  <c r="AM154" i="5"/>
  <c r="AL154" i="5"/>
  <c r="AP154" i="5"/>
  <c r="AN154" i="5"/>
  <c r="AQ154" i="5"/>
  <c r="AO154" i="5"/>
  <c r="AU154" i="5"/>
  <c r="AT154" i="5"/>
  <c r="AK154" i="5"/>
  <c r="AP117" i="5"/>
  <c r="AO117" i="5"/>
  <c r="AR117" i="5"/>
  <c r="AW117" i="5"/>
  <c r="AV117" i="5"/>
  <c r="AV98" i="5" s="1"/>
  <c r="AT117" i="5"/>
  <c r="AT98" i="5" s="1"/>
  <c r="AS117" i="5"/>
  <c r="AR98" i="5"/>
  <c r="AQ117" i="5"/>
  <c r="AQ98" i="5" s="1"/>
  <c r="AM117" i="5"/>
  <c r="AM98" i="5" s="1"/>
  <c r="AR7" i="5"/>
  <c r="AS7" i="5"/>
  <c r="AT7" i="5"/>
  <c r="AL7" i="5"/>
  <c r="AN7" i="5"/>
  <c r="AM7" i="5"/>
  <c r="AV7" i="5"/>
  <c r="AU7" i="5"/>
  <c r="AK7" i="5"/>
  <c r="AQ7" i="5"/>
  <c r="AP7" i="5"/>
  <c r="AO7" i="5"/>
  <c r="Q21" i="5"/>
  <c r="V69" i="5"/>
  <c r="E86" i="5"/>
  <c r="E78" i="5"/>
  <c r="E76" i="5"/>
  <c r="E39" i="5"/>
  <c r="G102" i="5"/>
  <c r="F102" i="5"/>
  <c r="E102" i="5"/>
  <c r="P114" i="5"/>
  <c r="L114" i="5"/>
  <c r="G99" i="5"/>
  <c r="F99" i="5"/>
  <c r="E99" i="5"/>
  <c r="U101" i="5"/>
  <c r="V101" i="5" s="1"/>
  <c r="N101" i="5"/>
  <c r="P101" i="5" s="1"/>
  <c r="L101" i="5"/>
  <c r="H101" i="5"/>
  <c r="B31" i="6"/>
  <c r="A31" i="6"/>
  <c r="V186" i="5"/>
  <c r="V184" i="5"/>
  <c r="V182" i="5"/>
  <c r="V183" i="5"/>
  <c r="V181" i="5"/>
  <c r="J47" i="5"/>
  <c r="V45" i="5"/>
  <c r="P45" i="5"/>
  <c r="L45" i="5"/>
  <c r="H45" i="5"/>
  <c r="V254" i="5"/>
  <c r="P254" i="5"/>
  <c r="P253" i="5" s="1"/>
  <c r="L254" i="5"/>
  <c r="L253" i="5" s="1"/>
  <c r="E253" i="5"/>
  <c r="C31" i="6" s="1"/>
  <c r="G253" i="5"/>
  <c r="F253" i="5"/>
  <c r="V113" i="5"/>
  <c r="P113" i="5"/>
  <c r="L113" i="5"/>
  <c r="H113" i="5"/>
  <c r="F156" i="5"/>
  <c r="F155" i="5" s="1"/>
  <c r="AK6" i="5" l="1"/>
  <c r="AN6" i="5"/>
  <c r="AL6" i="5"/>
  <c r="AV6" i="5"/>
  <c r="AU117" i="5"/>
  <c r="AU98" i="5" s="1"/>
  <c r="AU6" i="5" s="1"/>
  <c r="AQ6" i="5"/>
  <c r="AT6" i="5"/>
  <c r="AR6" i="5"/>
  <c r="AM6" i="5"/>
  <c r="Q114" i="5"/>
  <c r="Q45" i="5"/>
  <c r="Q101" i="5"/>
  <c r="AP101" i="5" s="1"/>
  <c r="Q113" i="5"/>
  <c r="E31" i="6"/>
  <c r="D31" i="6"/>
  <c r="Q254" i="5"/>
  <c r="C24" i="6"/>
  <c r="B24" i="6"/>
  <c r="F14" i="6"/>
  <c r="AO101" i="5" l="1"/>
  <c r="AO99" i="5" s="1"/>
  <c r="AO98" i="5" s="1"/>
  <c r="AO6" i="5" s="1"/>
  <c r="AS101" i="5"/>
  <c r="AS99" i="5" s="1"/>
  <c r="AS98" i="5" s="1"/>
  <c r="AS6" i="5" s="1"/>
  <c r="AP99" i="5"/>
  <c r="AP98" i="5" s="1"/>
  <c r="AP6" i="5" s="1"/>
  <c r="AW6" i="5"/>
  <c r="Q253" i="5"/>
  <c r="F31" i="6"/>
  <c r="J59" i="5"/>
  <c r="I46" i="5"/>
  <c r="M28" i="5"/>
  <c r="N19" i="5" l="1"/>
  <c r="P19" i="5" s="1"/>
  <c r="Q19" i="5" s="1"/>
  <c r="N18" i="5"/>
  <c r="P18" i="5" s="1"/>
  <c r="Q18" i="5" s="1"/>
  <c r="V177" i="5"/>
  <c r="V178" i="5"/>
  <c r="P178" i="5"/>
  <c r="Q178" i="5" s="1"/>
  <c r="P177" i="5"/>
  <c r="Q177" i="5" s="1"/>
  <c r="P187" i="5"/>
  <c r="P186" i="5"/>
  <c r="L187" i="5"/>
  <c r="L186" i="5"/>
  <c r="L185" i="5" s="1"/>
  <c r="D24" i="6" s="1"/>
  <c r="V252" i="5"/>
  <c r="N252" i="5"/>
  <c r="P252" i="5" s="1"/>
  <c r="L252" i="5"/>
  <c r="H252" i="5"/>
  <c r="P251" i="5"/>
  <c r="L251" i="5"/>
  <c r="H251" i="5"/>
  <c r="G250" i="5"/>
  <c r="F250" i="5"/>
  <c r="E250" i="5"/>
  <c r="C30" i="6" s="1"/>
  <c r="V249" i="5"/>
  <c r="P249" i="5"/>
  <c r="L249" i="5"/>
  <c r="H249" i="5"/>
  <c r="V245" i="5"/>
  <c r="M245" i="5"/>
  <c r="P245" i="5" s="1"/>
  <c r="L245" i="5"/>
  <c r="E245" i="5"/>
  <c r="H245" i="5" s="1"/>
  <c r="V244" i="5"/>
  <c r="P244" i="5"/>
  <c r="L244" i="5"/>
  <c r="H244" i="5"/>
  <c r="V243" i="5"/>
  <c r="P243" i="5"/>
  <c r="L243" i="5"/>
  <c r="H243" i="5"/>
  <c r="V242" i="5"/>
  <c r="P242" i="5"/>
  <c r="L242" i="5"/>
  <c r="H242" i="5"/>
  <c r="V241" i="5"/>
  <c r="P241" i="5"/>
  <c r="L241" i="5"/>
  <c r="E241" i="5"/>
  <c r="H241" i="5" s="1"/>
  <c r="V240" i="5"/>
  <c r="P240" i="5"/>
  <c r="L240" i="5"/>
  <c r="H240" i="5"/>
  <c r="M239" i="5"/>
  <c r="L239" i="5"/>
  <c r="H239" i="5"/>
  <c r="U238" i="5"/>
  <c r="N238" i="5"/>
  <c r="N239" i="5" s="1"/>
  <c r="M238" i="5"/>
  <c r="L238" i="5"/>
  <c r="H238" i="5"/>
  <c r="V237" i="5"/>
  <c r="V238" i="5" s="1"/>
  <c r="U239" i="5" s="1"/>
  <c r="V239" i="5" s="1"/>
  <c r="P237" i="5"/>
  <c r="L237" i="5"/>
  <c r="H237" i="5"/>
  <c r="G236" i="5"/>
  <c r="V235" i="5"/>
  <c r="P235" i="5"/>
  <c r="Q235" i="5" s="1"/>
  <c r="M234" i="5"/>
  <c r="P234" i="5" s="1"/>
  <c r="L234" i="5"/>
  <c r="E234" i="5"/>
  <c r="H234" i="5" s="1"/>
  <c r="M233" i="5"/>
  <c r="P233" i="5" s="1"/>
  <c r="L233" i="5"/>
  <c r="E233" i="5"/>
  <c r="H233" i="5" s="1"/>
  <c r="M232" i="5"/>
  <c r="P232" i="5" s="1"/>
  <c r="P231" i="5" s="1"/>
  <c r="E28" i="6" s="1"/>
  <c r="L232" i="5"/>
  <c r="E232" i="5"/>
  <c r="G231" i="5"/>
  <c r="F231" i="5"/>
  <c r="N229" i="5"/>
  <c r="P229" i="5" s="1"/>
  <c r="L229" i="5"/>
  <c r="H229" i="5"/>
  <c r="N228" i="5"/>
  <c r="P228" i="5" s="1"/>
  <c r="L228" i="5"/>
  <c r="H228" i="5"/>
  <c r="N227" i="5"/>
  <c r="P227" i="5" s="1"/>
  <c r="J227" i="5"/>
  <c r="L227" i="5" s="1"/>
  <c r="G227" i="5"/>
  <c r="G226" i="5" s="1"/>
  <c r="G225" i="5" s="1"/>
  <c r="E227" i="5"/>
  <c r="E226" i="5" s="1"/>
  <c r="F226" i="5"/>
  <c r="O225" i="5"/>
  <c r="N225" i="5"/>
  <c r="M225" i="5"/>
  <c r="K225" i="5"/>
  <c r="J225" i="5"/>
  <c r="I225" i="5"/>
  <c r="P224" i="5"/>
  <c r="L224" i="5"/>
  <c r="H224" i="5"/>
  <c r="V223" i="5"/>
  <c r="P223" i="5"/>
  <c r="L223" i="5"/>
  <c r="H223" i="5"/>
  <c r="V222" i="5"/>
  <c r="P222" i="5"/>
  <c r="L222" i="5"/>
  <c r="H222" i="5"/>
  <c r="V221" i="5"/>
  <c r="P221" i="5"/>
  <c r="L221" i="5"/>
  <c r="H221" i="5"/>
  <c r="P220" i="5"/>
  <c r="L220" i="5"/>
  <c r="E220" i="5"/>
  <c r="H220" i="5" s="1"/>
  <c r="P219" i="5"/>
  <c r="L219" i="5"/>
  <c r="E219" i="5"/>
  <c r="H219" i="5" s="1"/>
  <c r="P218" i="5"/>
  <c r="L218" i="5"/>
  <c r="E218" i="5"/>
  <c r="H218" i="5" s="1"/>
  <c r="V217" i="5"/>
  <c r="P217" i="5"/>
  <c r="L217" i="5"/>
  <c r="H217" i="5"/>
  <c r="M216" i="5"/>
  <c r="P216" i="5" s="1"/>
  <c r="L216" i="5"/>
  <c r="H216" i="5"/>
  <c r="P215" i="5"/>
  <c r="L215" i="5"/>
  <c r="E215" i="5"/>
  <c r="H215" i="5" s="1"/>
  <c r="M214" i="5"/>
  <c r="P214" i="5" s="1"/>
  <c r="L214" i="5"/>
  <c r="H214" i="5"/>
  <c r="V213" i="5"/>
  <c r="P213" i="5"/>
  <c r="Q213" i="5" s="1"/>
  <c r="M212" i="5"/>
  <c r="P212" i="5" s="1"/>
  <c r="L212" i="5"/>
  <c r="H212" i="5"/>
  <c r="P211" i="5"/>
  <c r="L211" i="5"/>
  <c r="H211" i="5"/>
  <c r="M210" i="5"/>
  <c r="P210" i="5" s="1"/>
  <c r="L210" i="5"/>
  <c r="H210" i="5"/>
  <c r="M209" i="5"/>
  <c r="P209" i="5" s="1"/>
  <c r="L209" i="5"/>
  <c r="E209" i="5"/>
  <c r="H209" i="5" s="1"/>
  <c r="M208" i="5"/>
  <c r="P208" i="5" s="1"/>
  <c r="L208" i="5"/>
  <c r="G208" i="5"/>
  <c r="E208" i="5"/>
  <c r="P207" i="5"/>
  <c r="H207" i="5"/>
  <c r="V206" i="5"/>
  <c r="P206" i="5"/>
  <c r="L206" i="5"/>
  <c r="H206" i="5"/>
  <c r="U205" i="5"/>
  <c r="M205" i="5"/>
  <c r="P205" i="5" s="1"/>
  <c r="L205" i="5"/>
  <c r="H205" i="5"/>
  <c r="P204" i="5"/>
  <c r="L204" i="5"/>
  <c r="H204" i="5"/>
  <c r="P203" i="5"/>
  <c r="L203" i="5"/>
  <c r="G203" i="5"/>
  <c r="E203" i="5"/>
  <c r="P202" i="5"/>
  <c r="L202" i="5"/>
  <c r="H202" i="5"/>
  <c r="P201" i="5"/>
  <c r="L201" i="5"/>
  <c r="H201" i="5"/>
  <c r="P200" i="5"/>
  <c r="L200" i="5"/>
  <c r="E200" i="5"/>
  <c r="H200" i="5" s="1"/>
  <c r="P199" i="5"/>
  <c r="L199" i="5"/>
  <c r="E199" i="5"/>
  <c r="H199" i="5" s="1"/>
  <c r="M198" i="5"/>
  <c r="P198" i="5" s="1"/>
  <c r="I198" i="5"/>
  <c r="L198" i="5" s="1"/>
  <c r="H198" i="5"/>
  <c r="M197" i="5"/>
  <c r="P197" i="5" s="1"/>
  <c r="I197" i="5"/>
  <c r="L197" i="5" s="1"/>
  <c r="H197" i="5"/>
  <c r="V196" i="5"/>
  <c r="M196" i="5"/>
  <c r="P196" i="5" s="1"/>
  <c r="L196" i="5"/>
  <c r="E196" i="5"/>
  <c r="H196" i="5" s="1"/>
  <c r="P195" i="5"/>
  <c r="I195" i="5"/>
  <c r="L195" i="5" s="1"/>
  <c r="H195" i="5"/>
  <c r="V194" i="5"/>
  <c r="P194" i="5"/>
  <c r="L194" i="5"/>
  <c r="H194" i="5"/>
  <c r="V193" i="5"/>
  <c r="P193" i="5"/>
  <c r="L193" i="5"/>
  <c r="H193" i="5"/>
  <c r="V192" i="5"/>
  <c r="P192" i="5"/>
  <c r="L192" i="5"/>
  <c r="H192" i="5"/>
  <c r="V191" i="5"/>
  <c r="P191" i="5"/>
  <c r="L191" i="5"/>
  <c r="H191" i="5"/>
  <c r="P190" i="5"/>
  <c r="L190" i="5"/>
  <c r="E190" i="5"/>
  <c r="H190" i="5" s="1"/>
  <c r="V189" i="5"/>
  <c r="P189" i="5"/>
  <c r="L189" i="5"/>
  <c r="H189" i="5"/>
  <c r="F188" i="5"/>
  <c r="F154" i="5" s="1"/>
  <c r="P184" i="5"/>
  <c r="L184" i="5"/>
  <c r="H184" i="5"/>
  <c r="M183" i="5"/>
  <c r="P183" i="5" s="1"/>
  <c r="L183" i="5"/>
  <c r="F183" i="5"/>
  <c r="E183" i="5"/>
  <c r="E180" i="5" s="1"/>
  <c r="C23" i="6" s="1"/>
  <c r="P182" i="5"/>
  <c r="L182" i="5"/>
  <c r="H182" i="5"/>
  <c r="P181" i="5"/>
  <c r="P180" i="5" s="1"/>
  <c r="E23" i="6" s="1"/>
  <c r="L181" i="5"/>
  <c r="H181" i="5"/>
  <c r="G180" i="5"/>
  <c r="V179" i="5"/>
  <c r="M179" i="5"/>
  <c r="P179" i="5" s="1"/>
  <c r="L179" i="5"/>
  <c r="H179" i="5"/>
  <c r="M176" i="5"/>
  <c r="P176" i="5" s="1"/>
  <c r="L176" i="5"/>
  <c r="M175" i="5"/>
  <c r="P175" i="5" s="1"/>
  <c r="L175" i="5"/>
  <c r="M174" i="5"/>
  <c r="P174" i="5" s="1"/>
  <c r="L174" i="5"/>
  <c r="V173" i="5"/>
  <c r="M173" i="5"/>
  <c r="P173" i="5" s="1"/>
  <c r="L173" i="5"/>
  <c r="H173" i="5"/>
  <c r="P172" i="5"/>
  <c r="L172" i="5"/>
  <c r="E172" i="5"/>
  <c r="H172" i="5" s="1"/>
  <c r="M171" i="5"/>
  <c r="P171" i="5" s="1"/>
  <c r="L171" i="5"/>
  <c r="H171" i="5"/>
  <c r="M170" i="5"/>
  <c r="P170" i="5" s="1"/>
  <c r="L170" i="5"/>
  <c r="H170" i="5"/>
  <c r="M169" i="5"/>
  <c r="P169" i="5" s="1"/>
  <c r="L169" i="5"/>
  <c r="H169" i="5"/>
  <c r="M168" i="5"/>
  <c r="P168" i="5" s="1"/>
  <c r="L168" i="5"/>
  <c r="H168" i="5"/>
  <c r="M167" i="5"/>
  <c r="P167" i="5" s="1"/>
  <c r="L167" i="5"/>
  <c r="H167" i="5"/>
  <c r="M166" i="5"/>
  <c r="P166" i="5" s="1"/>
  <c r="L166" i="5"/>
  <c r="H166" i="5"/>
  <c r="M165" i="5"/>
  <c r="P165" i="5" s="1"/>
  <c r="L165" i="5"/>
  <c r="E165" i="5"/>
  <c r="H165" i="5" s="1"/>
  <c r="M164" i="5"/>
  <c r="P164" i="5" s="1"/>
  <c r="L164" i="5"/>
  <c r="H164" i="5"/>
  <c r="M163" i="5"/>
  <c r="P163" i="5" s="1"/>
  <c r="L163" i="5"/>
  <c r="H163" i="5"/>
  <c r="M162" i="5"/>
  <c r="P162" i="5" s="1"/>
  <c r="L162" i="5"/>
  <c r="H162" i="5"/>
  <c r="M161" i="5"/>
  <c r="P161" i="5" s="1"/>
  <c r="L161" i="5"/>
  <c r="H161" i="5"/>
  <c r="M160" i="5"/>
  <c r="P160" i="5" s="1"/>
  <c r="L160" i="5"/>
  <c r="H160" i="5"/>
  <c r="M159" i="5"/>
  <c r="P159" i="5" s="1"/>
  <c r="L159" i="5"/>
  <c r="H159" i="5"/>
  <c r="M158" i="5"/>
  <c r="P158" i="5" s="1"/>
  <c r="L158" i="5"/>
  <c r="H158" i="5"/>
  <c r="M157" i="5"/>
  <c r="P157" i="5" s="1"/>
  <c r="I157" i="5"/>
  <c r="L157" i="5" s="1"/>
  <c r="E157" i="5"/>
  <c r="V156" i="5"/>
  <c r="G155" i="5"/>
  <c r="V153" i="5"/>
  <c r="P153" i="5"/>
  <c r="L153" i="5"/>
  <c r="H153" i="5"/>
  <c r="V152" i="5"/>
  <c r="N152" i="5"/>
  <c r="P152" i="5" s="1"/>
  <c r="L152" i="5"/>
  <c r="H152" i="5"/>
  <c r="V150" i="5"/>
  <c r="N150" i="5"/>
  <c r="P150" i="5" s="1"/>
  <c r="L150" i="5"/>
  <c r="H150" i="5"/>
  <c r="V151" i="5"/>
  <c r="J151" i="5"/>
  <c r="J137" i="5" s="1"/>
  <c r="P149" i="5"/>
  <c r="L149" i="5"/>
  <c r="E149" i="5"/>
  <c r="H149" i="5" s="1"/>
  <c r="V148" i="5"/>
  <c r="P148" i="5"/>
  <c r="L148" i="5"/>
  <c r="H148" i="5"/>
  <c r="P147" i="5"/>
  <c r="L147" i="5"/>
  <c r="H147" i="5"/>
  <c r="U146" i="5"/>
  <c r="U147" i="5" s="1"/>
  <c r="V147" i="5" s="1"/>
  <c r="P146" i="5"/>
  <c r="L146" i="5"/>
  <c r="H146" i="5"/>
  <c r="U145" i="5"/>
  <c r="V145" i="5" s="1"/>
  <c r="N145" i="5"/>
  <c r="M145" i="5"/>
  <c r="L145" i="5"/>
  <c r="H145" i="5"/>
  <c r="V144" i="5"/>
  <c r="N144" i="5"/>
  <c r="P144" i="5" s="1"/>
  <c r="L144" i="5"/>
  <c r="H144" i="5"/>
  <c r="V143" i="5"/>
  <c r="P143" i="5"/>
  <c r="L143" i="5"/>
  <c r="G143" i="5"/>
  <c r="H143" i="5" s="1"/>
  <c r="P142" i="5"/>
  <c r="L142" i="5"/>
  <c r="H142" i="5"/>
  <c r="L141" i="5"/>
  <c r="H141" i="5"/>
  <c r="V140" i="5"/>
  <c r="U141" i="5" s="1"/>
  <c r="V141" i="5" s="1"/>
  <c r="U142" i="5" s="1"/>
  <c r="V142" i="5" s="1"/>
  <c r="P140" i="5"/>
  <c r="M141" i="5" s="1"/>
  <c r="L140" i="5"/>
  <c r="H140" i="5"/>
  <c r="V139" i="5"/>
  <c r="P139" i="5"/>
  <c r="Q139" i="5" s="1"/>
  <c r="V138" i="5"/>
  <c r="N138" i="5"/>
  <c r="L138" i="5"/>
  <c r="G138" i="5"/>
  <c r="E138" i="5"/>
  <c r="O137" i="5"/>
  <c r="K137" i="5"/>
  <c r="I137" i="5"/>
  <c r="F137" i="5"/>
  <c r="V135" i="5"/>
  <c r="P135" i="5"/>
  <c r="J135" i="5"/>
  <c r="L135" i="5" s="1"/>
  <c r="H135" i="5"/>
  <c r="V133" i="5"/>
  <c r="N133" i="5"/>
  <c r="P133" i="5" s="1"/>
  <c r="Q133" i="5" s="1"/>
  <c r="V132" i="5"/>
  <c r="N132" i="5"/>
  <c r="P132" i="5" s="1"/>
  <c r="Q132" i="5" s="1"/>
  <c r="V131" i="5"/>
  <c r="P131" i="5"/>
  <c r="L131" i="5"/>
  <c r="H131" i="5"/>
  <c r="V130" i="5"/>
  <c r="P130" i="5"/>
  <c r="Q130" i="5" s="1"/>
  <c r="V129" i="5"/>
  <c r="P129" i="5"/>
  <c r="Q129" i="5" s="1"/>
  <c r="V128" i="5"/>
  <c r="P128" i="5"/>
  <c r="Q128" i="5" s="1"/>
  <c r="V127" i="5"/>
  <c r="P127" i="5"/>
  <c r="L127" i="5"/>
  <c r="H127" i="5"/>
  <c r="P126" i="5"/>
  <c r="I126" i="5"/>
  <c r="L126" i="5" s="1"/>
  <c r="H126" i="5"/>
  <c r="V125" i="5"/>
  <c r="P125" i="5"/>
  <c r="L125" i="5"/>
  <c r="H125" i="5"/>
  <c r="V124" i="5"/>
  <c r="P124" i="5"/>
  <c r="L124" i="5"/>
  <c r="H124" i="5"/>
  <c r="P123" i="5"/>
  <c r="I123" i="5"/>
  <c r="L123" i="5" s="1"/>
  <c r="H123" i="5"/>
  <c r="V122" i="5"/>
  <c r="P122" i="5"/>
  <c r="L122" i="5"/>
  <c r="H122" i="5"/>
  <c r="V121" i="5"/>
  <c r="P121" i="5"/>
  <c r="L121" i="5"/>
  <c r="H121" i="5"/>
  <c r="P120" i="5"/>
  <c r="L120" i="5"/>
  <c r="E120" i="5"/>
  <c r="E117" i="5" s="1"/>
  <c r="V119" i="5"/>
  <c r="M119" i="5"/>
  <c r="P119" i="5" s="1"/>
  <c r="L119" i="5"/>
  <c r="H119" i="5"/>
  <c r="V118" i="5"/>
  <c r="M118" i="5"/>
  <c r="P118" i="5" s="1"/>
  <c r="L118" i="5"/>
  <c r="H118" i="5"/>
  <c r="G117" i="5"/>
  <c r="F117" i="5"/>
  <c r="H253" i="5"/>
  <c r="V112" i="5"/>
  <c r="M112" i="5"/>
  <c r="P112" i="5" s="1"/>
  <c r="L112" i="5"/>
  <c r="V111" i="5"/>
  <c r="N111" i="5"/>
  <c r="L111" i="5"/>
  <c r="V110" i="5"/>
  <c r="P110" i="5"/>
  <c r="J110" i="5"/>
  <c r="I110" i="5"/>
  <c r="V109" i="5"/>
  <c r="N109" i="5"/>
  <c r="P109" i="5" s="1"/>
  <c r="L109" i="5"/>
  <c r="V108" i="5"/>
  <c r="P108" i="5"/>
  <c r="Q108" i="5" s="1"/>
  <c r="V107" i="5"/>
  <c r="N107" i="5"/>
  <c r="P107" i="5" s="1"/>
  <c r="L107" i="5"/>
  <c r="V106" i="5"/>
  <c r="P106" i="5"/>
  <c r="L106" i="5"/>
  <c r="V105" i="5"/>
  <c r="P105" i="5"/>
  <c r="J105" i="5"/>
  <c r="L105" i="5" s="1"/>
  <c r="U104" i="5"/>
  <c r="N104" i="5"/>
  <c r="P104" i="5" s="1"/>
  <c r="J104" i="5"/>
  <c r="L104" i="5" s="1"/>
  <c r="H104" i="5"/>
  <c r="V103" i="5"/>
  <c r="V104" i="5" s="1"/>
  <c r="P103" i="5"/>
  <c r="L103" i="5"/>
  <c r="H103" i="5"/>
  <c r="V100" i="5"/>
  <c r="P100" i="5"/>
  <c r="L100" i="5"/>
  <c r="L99" i="5" s="1"/>
  <c r="H100" i="5"/>
  <c r="H99" i="5" s="1"/>
  <c r="C16" i="6"/>
  <c r="P95" i="5"/>
  <c r="E14" i="6" s="1"/>
  <c r="L95" i="5"/>
  <c r="D14" i="6" s="1"/>
  <c r="H95" i="5"/>
  <c r="G95" i="5"/>
  <c r="E95" i="5"/>
  <c r="Q94" i="5"/>
  <c r="H94" i="5"/>
  <c r="P93" i="5"/>
  <c r="L93" i="5"/>
  <c r="H93" i="5"/>
  <c r="P92" i="5"/>
  <c r="L92" i="5"/>
  <c r="H92" i="5"/>
  <c r="V91" i="5"/>
  <c r="N91" i="5"/>
  <c r="P91" i="5" s="1"/>
  <c r="L91" i="5"/>
  <c r="H91" i="5"/>
  <c r="V90" i="5"/>
  <c r="P90" i="5"/>
  <c r="L90" i="5"/>
  <c r="H90" i="5"/>
  <c r="V89" i="5"/>
  <c r="N89" i="5"/>
  <c r="P89" i="5" s="1"/>
  <c r="L89" i="5"/>
  <c r="H89" i="5"/>
  <c r="V88" i="5"/>
  <c r="N88" i="5"/>
  <c r="P88" i="5" s="1"/>
  <c r="L88" i="5"/>
  <c r="H88" i="5"/>
  <c r="V87" i="5"/>
  <c r="M87" i="5"/>
  <c r="P87" i="5" s="1"/>
  <c r="L87" i="5"/>
  <c r="H87" i="5"/>
  <c r="G86" i="5"/>
  <c r="C13" i="6"/>
  <c r="V85" i="5"/>
  <c r="P85" i="5"/>
  <c r="L85" i="5"/>
  <c r="H85" i="5"/>
  <c r="V84" i="5"/>
  <c r="M84" i="5"/>
  <c r="P84" i="5" s="1"/>
  <c r="I84" i="5"/>
  <c r="L84" i="5" s="1"/>
  <c r="H84" i="5"/>
  <c r="P83" i="5"/>
  <c r="Q83" i="5" s="1"/>
  <c r="V82" i="5"/>
  <c r="U83" i="5" s="1"/>
  <c r="V83" i="5" s="1"/>
  <c r="N82" i="5"/>
  <c r="P82" i="5" s="1"/>
  <c r="Q82" i="5" s="1"/>
  <c r="V81" i="5"/>
  <c r="P81" i="5"/>
  <c r="L81" i="5"/>
  <c r="H81" i="5"/>
  <c r="V80" i="5"/>
  <c r="P80" i="5"/>
  <c r="J80" i="5"/>
  <c r="L80" i="5" s="1"/>
  <c r="H80" i="5"/>
  <c r="V79" i="5"/>
  <c r="P79" i="5"/>
  <c r="L79" i="5"/>
  <c r="H79" i="5"/>
  <c r="G78" i="5"/>
  <c r="F78" i="5"/>
  <c r="C12" i="6"/>
  <c r="V77" i="5"/>
  <c r="P77" i="5"/>
  <c r="P76" i="5" s="1"/>
  <c r="E11" i="6" s="1"/>
  <c r="L77" i="5"/>
  <c r="L76" i="5" s="1"/>
  <c r="D11" i="6" s="1"/>
  <c r="H77" i="5"/>
  <c r="H76" i="5" s="1"/>
  <c r="G76" i="5"/>
  <c r="C11" i="6"/>
  <c r="U248" i="5"/>
  <c r="V248" i="5" s="1"/>
  <c r="N248" i="5"/>
  <c r="P248" i="5" s="1"/>
  <c r="L248" i="5"/>
  <c r="H248" i="5"/>
  <c r="U247" i="5"/>
  <c r="V247" i="5" s="1"/>
  <c r="N247" i="5"/>
  <c r="P247" i="5" s="1"/>
  <c r="L247" i="5"/>
  <c r="H247" i="5"/>
  <c r="V246" i="5"/>
  <c r="P246" i="5"/>
  <c r="L246" i="5"/>
  <c r="H246" i="5"/>
  <c r="V75" i="5"/>
  <c r="P75" i="5"/>
  <c r="P74" i="5" s="1"/>
  <c r="L75" i="5"/>
  <c r="L74" i="5" s="1"/>
  <c r="H75" i="5"/>
  <c r="V73" i="5"/>
  <c r="P73" i="5"/>
  <c r="L73" i="5"/>
  <c r="L72" i="5" s="1"/>
  <c r="D9" i="6" s="1"/>
  <c r="H73" i="5"/>
  <c r="H72" i="5" s="1"/>
  <c r="G72" i="5"/>
  <c r="F72" i="5"/>
  <c r="E72" i="5"/>
  <c r="C9" i="6" s="1"/>
  <c r="Q70" i="5"/>
  <c r="F8" i="6" s="1"/>
  <c r="P70" i="5"/>
  <c r="E8" i="6" s="1"/>
  <c r="L70" i="5"/>
  <c r="D8" i="6" s="1"/>
  <c r="H70" i="5"/>
  <c r="G70" i="5"/>
  <c r="E70" i="5"/>
  <c r="C8" i="6" s="1"/>
  <c r="P69" i="5"/>
  <c r="L69" i="5"/>
  <c r="H69" i="5"/>
  <c r="P68" i="5"/>
  <c r="L68" i="5"/>
  <c r="H68" i="5"/>
  <c r="V67" i="5"/>
  <c r="U68" i="5" s="1"/>
  <c r="P67" i="5"/>
  <c r="L67" i="5"/>
  <c r="H67" i="5"/>
  <c r="U66" i="5"/>
  <c r="L66" i="5"/>
  <c r="K66" i="5"/>
  <c r="J66" i="5"/>
  <c r="I66" i="5"/>
  <c r="H66" i="5"/>
  <c r="P65" i="5"/>
  <c r="Q65" i="5" s="1"/>
  <c r="V64" i="5"/>
  <c r="U65" i="5" s="1"/>
  <c r="V65" i="5" s="1"/>
  <c r="V66" i="5" s="1"/>
  <c r="N64" i="5"/>
  <c r="M64" i="5"/>
  <c r="L64" i="5"/>
  <c r="H64" i="5"/>
  <c r="V63" i="5"/>
  <c r="N63" i="5"/>
  <c r="M63" i="5"/>
  <c r="L63" i="5"/>
  <c r="H63" i="5"/>
  <c r="V62" i="5"/>
  <c r="P62" i="5"/>
  <c r="I62" i="5"/>
  <c r="L62" i="5" s="1"/>
  <c r="H62" i="5"/>
  <c r="J61" i="5"/>
  <c r="L61" i="5" s="1"/>
  <c r="Q61" i="5" s="1"/>
  <c r="V60" i="5"/>
  <c r="U61" i="5" s="1"/>
  <c r="V61" i="5" s="1"/>
  <c r="P60" i="5"/>
  <c r="L60" i="5"/>
  <c r="H60" i="5"/>
  <c r="V59" i="5"/>
  <c r="P59" i="5"/>
  <c r="L59" i="5"/>
  <c r="H59" i="5"/>
  <c r="P58" i="5"/>
  <c r="L58" i="5"/>
  <c r="H58" i="5"/>
  <c r="U57" i="5"/>
  <c r="P57" i="5"/>
  <c r="L57" i="5"/>
  <c r="E57" i="5"/>
  <c r="V56" i="5"/>
  <c r="P56" i="5"/>
  <c r="L56" i="5"/>
  <c r="H56" i="5"/>
  <c r="G55" i="5"/>
  <c r="F55" i="5"/>
  <c r="V54" i="5"/>
  <c r="P54" i="5"/>
  <c r="L54" i="5"/>
  <c r="E54" i="5"/>
  <c r="H54" i="5" s="1"/>
  <c r="V53" i="5"/>
  <c r="P53" i="5"/>
  <c r="L53" i="5"/>
  <c r="E53" i="5"/>
  <c r="G52" i="5"/>
  <c r="F52" i="5"/>
  <c r="V51" i="5"/>
  <c r="P51" i="5"/>
  <c r="J51" i="5"/>
  <c r="L51" i="5" s="1"/>
  <c r="H51" i="5"/>
  <c r="U50" i="5"/>
  <c r="O50" i="5"/>
  <c r="M50" i="5"/>
  <c r="H50" i="5"/>
  <c r="P49" i="5"/>
  <c r="L49" i="5"/>
  <c r="H49" i="5"/>
  <c r="V48" i="5"/>
  <c r="V50" i="5" s="1"/>
  <c r="N48" i="5"/>
  <c r="P48" i="5" s="1"/>
  <c r="L48" i="5"/>
  <c r="L50" i="5" s="1"/>
  <c r="H48" i="5"/>
  <c r="V47" i="5"/>
  <c r="P47" i="5"/>
  <c r="L47" i="5"/>
  <c r="H47" i="5"/>
  <c r="V46" i="5"/>
  <c r="P46" i="5"/>
  <c r="L46" i="5"/>
  <c r="H46" i="5"/>
  <c r="P44" i="5"/>
  <c r="J44" i="5"/>
  <c r="L44" i="5" s="1"/>
  <c r="H44" i="5"/>
  <c r="V43" i="5"/>
  <c r="U44" i="5" s="1"/>
  <c r="V44" i="5" s="1"/>
  <c r="P43" i="5"/>
  <c r="I43" i="5"/>
  <c r="L43" i="5" s="1"/>
  <c r="H43" i="5"/>
  <c r="V42" i="5"/>
  <c r="P42" i="5"/>
  <c r="L42" i="5"/>
  <c r="H42" i="5"/>
  <c r="V41" i="5"/>
  <c r="P41" i="5"/>
  <c r="L41" i="5"/>
  <c r="H41" i="5"/>
  <c r="V40" i="5"/>
  <c r="P40" i="5"/>
  <c r="L40" i="5"/>
  <c r="H40" i="5"/>
  <c r="G39" i="5"/>
  <c r="F39" i="5"/>
  <c r="C5" i="6"/>
  <c r="V38" i="5"/>
  <c r="N38" i="5"/>
  <c r="P38" i="5" s="1"/>
  <c r="L38" i="5"/>
  <c r="H38" i="5"/>
  <c r="V37" i="5"/>
  <c r="N37" i="5"/>
  <c r="P37" i="5" s="1"/>
  <c r="J37" i="5"/>
  <c r="L37" i="5" s="1"/>
  <c r="H37" i="5"/>
  <c r="V36" i="5"/>
  <c r="P36" i="5"/>
  <c r="I36" i="5"/>
  <c r="L36" i="5" s="1"/>
  <c r="H36" i="5"/>
  <c r="V35" i="5"/>
  <c r="M35" i="5"/>
  <c r="P35" i="5" s="1"/>
  <c r="I35" i="5"/>
  <c r="L35" i="5" s="1"/>
  <c r="H35" i="5"/>
  <c r="U32" i="5"/>
  <c r="O32" i="5"/>
  <c r="N32" i="5"/>
  <c r="M32" i="5"/>
  <c r="H32" i="5"/>
  <c r="V31" i="5"/>
  <c r="V32" i="5" s="1"/>
  <c r="P31" i="5"/>
  <c r="J31" i="5"/>
  <c r="L31" i="5" s="1"/>
  <c r="L32" i="5" s="1"/>
  <c r="H31" i="5"/>
  <c r="U34" i="5"/>
  <c r="O34" i="5"/>
  <c r="N34" i="5"/>
  <c r="M34" i="5"/>
  <c r="K34" i="5"/>
  <c r="I34" i="5"/>
  <c r="H34" i="5"/>
  <c r="V33" i="5"/>
  <c r="V34" i="5" s="1"/>
  <c r="P33" i="5"/>
  <c r="J33" i="5"/>
  <c r="J34" i="5" s="1"/>
  <c r="H33" i="5"/>
  <c r="V30" i="5"/>
  <c r="P30" i="5"/>
  <c r="I30" i="5"/>
  <c r="L30" i="5" s="1"/>
  <c r="H30" i="5"/>
  <c r="V29" i="5"/>
  <c r="M29" i="5"/>
  <c r="P29" i="5" s="1"/>
  <c r="L29" i="5"/>
  <c r="H29" i="5"/>
  <c r="V28" i="5"/>
  <c r="P28" i="5"/>
  <c r="L28" i="5"/>
  <c r="H28" i="5"/>
  <c r="J27" i="5"/>
  <c r="L27" i="5" s="1"/>
  <c r="Q27" i="5" s="1"/>
  <c r="U26" i="5"/>
  <c r="P26" i="5"/>
  <c r="L26" i="5"/>
  <c r="H26" i="5"/>
  <c r="V25" i="5"/>
  <c r="V26" i="5" s="1"/>
  <c r="U27" i="5" s="1"/>
  <c r="V27" i="5" s="1"/>
  <c r="P25" i="5"/>
  <c r="L25" i="5"/>
  <c r="H25" i="5"/>
  <c r="V24" i="5"/>
  <c r="P24" i="5"/>
  <c r="L24" i="5"/>
  <c r="E24" i="5"/>
  <c r="H24" i="5" s="1"/>
  <c r="V23" i="5"/>
  <c r="P23" i="5"/>
  <c r="L23" i="5"/>
  <c r="E23" i="5"/>
  <c r="H23" i="5" s="1"/>
  <c r="Q22" i="5"/>
  <c r="H22" i="5"/>
  <c r="O20" i="5"/>
  <c r="M20" i="5"/>
  <c r="L20" i="5"/>
  <c r="K20" i="5"/>
  <c r="J20" i="5"/>
  <c r="I20" i="5"/>
  <c r="H20" i="5"/>
  <c r="H18" i="5"/>
  <c r="V17" i="5"/>
  <c r="P17" i="5"/>
  <c r="L17" i="5"/>
  <c r="H17" i="5"/>
  <c r="M16" i="5"/>
  <c r="L16" i="5"/>
  <c r="H16" i="5"/>
  <c r="U15" i="5"/>
  <c r="N15" i="5"/>
  <c r="N16" i="5" s="1"/>
  <c r="M15" i="5"/>
  <c r="L15" i="5"/>
  <c r="H15" i="5"/>
  <c r="V14" i="5"/>
  <c r="V15" i="5" s="1"/>
  <c r="P14" i="5"/>
  <c r="L14" i="5"/>
  <c r="H14" i="5"/>
  <c r="P13" i="5"/>
  <c r="L13" i="5"/>
  <c r="H13" i="5"/>
  <c r="M12" i="5"/>
  <c r="L12" i="5"/>
  <c r="H12" i="5"/>
  <c r="U11" i="5"/>
  <c r="N11" i="5"/>
  <c r="N12" i="5" s="1"/>
  <c r="M11" i="5"/>
  <c r="L11" i="5"/>
  <c r="H11" i="5"/>
  <c r="V10" i="5"/>
  <c r="V11" i="5" s="1"/>
  <c r="U12" i="5" s="1"/>
  <c r="V12" i="5" s="1"/>
  <c r="U13" i="5" s="1"/>
  <c r="V13" i="5" s="1"/>
  <c r="P10" i="5"/>
  <c r="L10" i="5"/>
  <c r="H10" i="5"/>
  <c r="V9" i="5"/>
  <c r="P9" i="5"/>
  <c r="L9" i="5"/>
  <c r="H9" i="5"/>
  <c r="G8" i="5"/>
  <c r="F8" i="5"/>
  <c r="P117" i="5" l="1"/>
  <c r="E18" i="6" s="1"/>
  <c r="L236" i="5"/>
  <c r="D29" i="6" s="1"/>
  <c r="C14" i="6"/>
  <c r="Q123" i="5"/>
  <c r="Q127" i="5"/>
  <c r="H102" i="5"/>
  <c r="E137" i="5"/>
  <c r="C18" i="6"/>
  <c r="E98" i="5"/>
  <c r="H53" i="5"/>
  <c r="E52" i="5"/>
  <c r="C6" i="6" s="1"/>
  <c r="E55" i="5"/>
  <c r="C7" i="6" s="1"/>
  <c r="P99" i="5"/>
  <c r="E16" i="6" s="1"/>
  <c r="C27" i="6"/>
  <c r="Q80" i="5"/>
  <c r="F225" i="5"/>
  <c r="F74" i="5" s="1"/>
  <c r="L156" i="5"/>
  <c r="L155" i="5" s="1"/>
  <c r="D22" i="6" s="1"/>
  <c r="P156" i="5"/>
  <c r="P155" i="5" s="1"/>
  <c r="E22" i="6" s="1"/>
  <c r="E156" i="5"/>
  <c r="E155" i="5" s="1"/>
  <c r="C22" i="6" s="1"/>
  <c r="Q122" i="5"/>
  <c r="G137" i="5"/>
  <c r="E231" i="5"/>
  <c r="C28" i="6" s="1"/>
  <c r="Q125" i="5"/>
  <c r="P63" i="5"/>
  <c r="Q63" i="5" s="1"/>
  <c r="H208" i="5"/>
  <c r="E236" i="5"/>
  <c r="C29" i="6" s="1"/>
  <c r="Q241" i="5"/>
  <c r="U16" i="5"/>
  <c r="V16" i="5" s="1"/>
  <c r="Q186" i="5"/>
  <c r="Q187" i="5"/>
  <c r="Q221" i="5"/>
  <c r="Q29" i="5"/>
  <c r="Q149" i="5"/>
  <c r="Q189" i="5"/>
  <c r="Q88" i="5"/>
  <c r="Q140" i="5"/>
  <c r="Q184" i="5"/>
  <c r="Q160" i="5"/>
  <c r="Q119" i="5"/>
  <c r="Q146" i="5"/>
  <c r="P185" i="5"/>
  <c r="E24" i="6" s="1"/>
  <c r="H157" i="5"/>
  <c r="H156" i="5" s="1"/>
  <c r="H155" i="5" s="1"/>
  <c r="Q89" i="5"/>
  <c r="P15" i="5"/>
  <c r="Q15" i="5" s="1"/>
  <c r="P145" i="5"/>
  <c r="Q145" i="5" s="1"/>
  <c r="P239" i="5"/>
  <c r="Q239" i="5" s="1"/>
  <c r="Q26" i="5"/>
  <c r="Q222" i="5"/>
  <c r="Q23" i="5"/>
  <c r="Q42" i="5"/>
  <c r="Q240" i="5"/>
  <c r="Q209" i="5"/>
  <c r="Q237" i="5"/>
  <c r="Q182" i="5"/>
  <c r="Q193" i="5"/>
  <c r="Q142" i="5"/>
  <c r="Q159" i="5"/>
  <c r="Q197" i="5"/>
  <c r="L226" i="5"/>
  <c r="Q244" i="5"/>
  <c r="L250" i="5"/>
  <c r="D30" i="6" s="1"/>
  <c r="Q157" i="5"/>
  <c r="Q192" i="5"/>
  <c r="Q214" i="5"/>
  <c r="V68" i="5"/>
  <c r="Q112" i="5"/>
  <c r="H250" i="5"/>
  <c r="Q210" i="5"/>
  <c r="Q41" i="5"/>
  <c r="Q144" i="5"/>
  <c r="Q217" i="5"/>
  <c r="Q229" i="5"/>
  <c r="Q118" i="5"/>
  <c r="Q200" i="5"/>
  <c r="Q14" i="5"/>
  <c r="Q38" i="5"/>
  <c r="Q166" i="5"/>
  <c r="L52" i="5"/>
  <c r="D6" i="6" s="1"/>
  <c r="Q162" i="5"/>
  <c r="Q176" i="5"/>
  <c r="Q205" i="5"/>
  <c r="Q218" i="5"/>
  <c r="P52" i="5"/>
  <c r="E6" i="6" s="1"/>
  <c r="Q48" i="5"/>
  <c r="G188" i="5"/>
  <c r="G154" i="5" s="1"/>
  <c r="Q220" i="5"/>
  <c r="Q120" i="5"/>
  <c r="Q173" i="5"/>
  <c r="Q228" i="5"/>
  <c r="P16" i="5"/>
  <c r="Q16" i="5" s="1"/>
  <c r="P32" i="5"/>
  <c r="P64" i="5"/>
  <c r="Q100" i="5"/>
  <c r="Q150" i="5"/>
  <c r="Q234" i="5"/>
  <c r="Q51" i="5"/>
  <c r="Q249" i="5"/>
  <c r="Q106" i="5"/>
  <c r="Q143" i="5"/>
  <c r="Q171" i="5"/>
  <c r="Q194" i="5"/>
  <c r="Q167" i="5"/>
  <c r="Q219" i="5"/>
  <c r="H232" i="5"/>
  <c r="H231" i="5" s="1"/>
  <c r="Q181" i="5"/>
  <c r="Q79" i="5"/>
  <c r="Q163" i="5"/>
  <c r="Q28" i="5"/>
  <c r="Q36" i="5"/>
  <c r="Q60" i="5"/>
  <c r="Q107" i="5"/>
  <c r="Q172" i="5"/>
  <c r="Q203" i="5"/>
  <c r="Q223" i="5"/>
  <c r="Q103" i="5"/>
  <c r="Q168" i="5"/>
  <c r="Q179" i="5"/>
  <c r="Q199" i="5"/>
  <c r="Q207" i="5"/>
  <c r="Q211" i="5"/>
  <c r="Q216" i="5"/>
  <c r="Q164" i="5"/>
  <c r="Q195" i="5"/>
  <c r="L117" i="5"/>
  <c r="D18" i="6" s="1"/>
  <c r="N20" i="5"/>
  <c r="P20" i="5" s="1"/>
  <c r="Q20" i="5" s="1"/>
  <c r="Q69" i="5"/>
  <c r="P11" i="5"/>
  <c r="Q11" i="5" s="1"/>
  <c r="Q17" i="5"/>
  <c r="Q25" i="5"/>
  <c r="Q40" i="5"/>
  <c r="N50" i="5"/>
  <c r="P50" i="5" s="1"/>
  <c r="Q53" i="5"/>
  <c r="Q247" i="5"/>
  <c r="Q92" i="5"/>
  <c r="H183" i="5"/>
  <c r="H180" i="5" s="1"/>
  <c r="Q204" i="5"/>
  <c r="Q30" i="5"/>
  <c r="Q124" i="5"/>
  <c r="H203" i="5"/>
  <c r="Q10" i="5"/>
  <c r="Q246" i="5"/>
  <c r="Q91" i="5"/>
  <c r="Q121" i="5"/>
  <c r="Q67" i="5"/>
  <c r="Q47" i="5"/>
  <c r="D16" i="6"/>
  <c r="Q148" i="5"/>
  <c r="Q196" i="5"/>
  <c r="Q208" i="5"/>
  <c r="P238" i="5"/>
  <c r="Q238" i="5" s="1"/>
  <c r="Q93" i="5"/>
  <c r="Q109" i="5"/>
  <c r="Q131" i="5"/>
  <c r="Q152" i="5"/>
  <c r="Q165" i="5"/>
  <c r="L180" i="5"/>
  <c r="D23" i="6" s="1"/>
  <c r="Q174" i="5"/>
  <c r="Q201" i="5"/>
  <c r="Q251" i="5"/>
  <c r="Q170" i="5"/>
  <c r="Q37" i="5"/>
  <c r="P34" i="5"/>
  <c r="Q44" i="5"/>
  <c r="Q58" i="5"/>
  <c r="Q248" i="5"/>
  <c r="Q105" i="5"/>
  <c r="P12" i="5"/>
  <c r="Q12" i="5" s="1"/>
  <c r="Q59" i="5"/>
  <c r="Q202" i="5"/>
  <c r="Q242" i="5"/>
  <c r="P86" i="5"/>
  <c r="E13" i="6" s="1"/>
  <c r="Q87" i="5"/>
  <c r="P250" i="5"/>
  <c r="E30" i="6" s="1"/>
  <c r="Q252" i="5"/>
  <c r="Q35" i="5"/>
  <c r="Q198" i="5"/>
  <c r="Q84" i="5"/>
  <c r="Q135" i="5"/>
  <c r="Q31" i="5"/>
  <c r="P72" i="5"/>
  <c r="E9" i="6" s="1"/>
  <c r="Q73" i="5"/>
  <c r="Q72" i="5" s="1"/>
  <c r="F9" i="6" s="1"/>
  <c r="H236" i="5"/>
  <c r="P78" i="5"/>
  <c r="E12" i="6" s="1"/>
  <c r="H57" i="5"/>
  <c r="H55" i="5" s="1"/>
  <c r="Q46" i="5"/>
  <c r="H138" i="5"/>
  <c r="H137" i="5" s="1"/>
  <c r="Q215" i="5"/>
  <c r="P138" i="5"/>
  <c r="N137" i="5"/>
  <c r="Q158" i="5"/>
  <c r="L55" i="5"/>
  <c r="D7" i="6" s="1"/>
  <c r="H52" i="5"/>
  <c r="Q62" i="5"/>
  <c r="P188" i="5"/>
  <c r="E25" i="6" s="1"/>
  <c r="Q190" i="5"/>
  <c r="L151" i="5"/>
  <c r="Q151" i="5" s="1"/>
  <c r="H227" i="5"/>
  <c r="H226" i="5" s="1"/>
  <c r="E188" i="5"/>
  <c r="C25" i="6" s="1"/>
  <c r="Q224" i="5"/>
  <c r="L110" i="5"/>
  <c r="Q110" i="5" s="1"/>
  <c r="M111" i="5"/>
  <c r="P111" i="5" s="1"/>
  <c r="Q111" i="5" s="1"/>
  <c r="Q54" i="5"/>
  <c r="L86" i="5"/>
  <c r="D13" i="6" s="1"/>
  <c r="Q227" i="5"/>
  <c r="H39" i="5"/>
  <c r="Q161" i="5"/>
  <c r="L39" i="5"/>
  <c r="D5" i="6" s="1"/>
  <c r="Q49" i="5"/>
  <c r="Q77" i="5"/>
  <c r="Q76" i="5" s="1"/>
  <c r="F11" i="6" s="1"/>
  <c r="E8" i="5"/>
  <c r="C4" i="6" s="1"/>
  <c r="Q175" i="5"/>
  <c r="Q232" i="5"/>
  <c r="Q43" i="5"/>
  <c r="Q212" i="5"/>
  <c r="H8" i="5"/>
  <c r="Q13" i="5"/>
  <c r="Q56" i="5"/>
  <c r="L78" i="5"/>
  <c r="D12" i="6" s="1"/>
  <c r="Q81" i="5"/>
  <c r="H120" i="5"/>
  <c r="H117" i="5" s="1"/>
  <c r="P226" i="5"/>
  <c r="Q233" i="5"/>
  <c r="Q9" i="5"/>
  <c r="V146" i="5"/>
  <c r="Q57" i="5"/>
  <c r="Q24" i="5"/>
  <c r="H86" i="5"/>
  <c r="M137" i="5"/>
  <c r="P141" i="5"/>
  <c r="Q141" i="5" s="1"/>
  <c r="Q147" i="5"/>
  <c r="Q68" i="5"/>
  <c r="Q90" i="5"/>
  <c r="Q126" i="5"/>
  <c r="Q245" i="5"/>
  <c r="V57" i="5"/>
  <c r="U58" i="5"/>
  <c r="V58" i="5" s="1"/>
  <c r="L188" i="5"/>
  <c r="D25" i="6" s="1"/>
  <c r="Q206" i="5"/>
  <c r="H78" i="5"/>
  <c r="Q153" i="5"/>
  <c r="Q169" i="5"/>
  <c r="Q75" i="5"/>
  <c r="Q74" i="5" s="1"/>
  <c r="L231" i="5"/>
  <c r="D28" i="6" s="1"/>
  <c r="Q243" i="5"/>
  <c r="Q85" i="5"/>
  <c r="Q191" i="5"/>
  <c r="L33" i="5"/>
  <c r="L34" i="5" s="1"/>
  <c r="Q104" i="5"/>
  <c r="Q183" i="5"/>
  <c r="L102" i="5" l="1"/>
  <c r="Q102" i="5"/>
  <c r="Q99" i="5"/>
  <c r="F16" i="6" s="1"/>
  <c r="H225" i="5"/>
  <c r="D27" i="6"/>
  <c r="L225" i="5"/>
  <c r="D26" i="6" s="1"/>
  <c r="G98" i="5"/>
  <c r="E27" i="6"/>
  <c r="C19" i="6"/>
  <c r="E225" i="5"/>
  <c r="C26" i="6" s="1"/>
  <c r="Q156" i="5"/>
  <c r="Q155" i="5" s="1"/>
  <c r="F22" i="6" s="1"/>
  <c r="P66" i="5"/>
  <c r="Q66" i="5" s="1"/>
  <c r="Q34" i="5"/>
  <c r="Q32" i="5"/>
  <c r="H188" i="5"/>
  <c r="H154" i="5" s="1"/>
  <c r="Q250" i="5"/>
  <c r="F30" i="6" s="1"/>
  <c r="Q185" i="5"/>
  <c r="F24" i="6" s="1"/>
  <c r="L154" i="5"/>
  <c r="D21" i="6" s="1"/>
  <c r="Q226" i="5"/>
  <c r="E154" i="5"/>
  <c r="C21" i="6" s="1"/>
  <c r="P154" i="5"/>
  <c r="E21" i="6" s="1"/>
  <c r="Q64" i="5"/>
  <c r="Q50" i="5"/>
  <c r="Q39" i="5" s="1"/>
  <c r="F5" i="6" s="1"/>
  <c r="P39" i="5"/>
  <c r="E5" i="6" s="1"/>
  <c r="P236" i="5"/>
  <c r="P225" i="5" s="1"/>
  <c r="Q188" i="5"/>
  <c r="F25" i="6" s="1"/>
  <c r="L8" i="5"/>
  <c r="Q236" i="5"/>
  <c r="F29" i="6" s="1"/>
  <c r="P8" i="5"/>
  <c r="E4" i="6" s="1"/>
  <c r="Q117" i="5"/>
  <c r="F18" i="6" s="1"/>
  <c r="Q86" i="5"/>
  <c r="F13" i="6" s="1"/>
  <c r="Q180" i="5"/>
  <c r="F23" i="6" s="1"/>
  <c r="Q52" i="5"/>
  <c r="F6" i="6" s="1"/>
  <c r="Q33" i="5"/>
  <c r="Q231" i="5"/>
  <c r="F28" i="6" s="1"/>
  <c r="Q138" i="5"/>
  <c r="Q137" i="5" s="1"/>
  <c r="F19" i="6" s="1"/>
  <c r="P137" i="5"/>
  <c r="E19" i="6" s="1"/>
  <c r="L137" i="5"/>
  <c r="D19" i="6" s="1"/>
  <c r="Q78" i="5"/>
  <c r="F12" i="6" s="1"/>
  <c r="G74" i="5" l="1"/>
  <c r="G7" i="5" s="1"/>
  <c r="G6" i="5" s="1"/>
  <c r="G4" i="5" s="1"/>
  <c r="E74" i="5"/>
  <c r="H98" i="5"/>
  <c r="Q55" i="5"/>
  <c r="F7" i="6" s="1"/>
  <c r="D17" i="6"/>
  <c r="Q256" i="5"/>
  <c r="C17" i="6"/>
  <c r="C15" i="6"/>
  <c r="F27" i="6"/>
  <c r="Q225" i="5"/>
  <c r="F26" i="6" s="1"/>
  <c r="E17" i="6"/>
  <c r="Q255" i="5"/>
  <c r="P55" i="5"/>
  <c r="E7" i="6" s="1"/>
  <c r="E26" i="6"/>
  <c r="E29" i="6"/>
  <c r="D4" i="6"/>
  <c r="Q8" i="5"/>
  <c r="Q154" i="5"/>
  <c r="F21" i="6" s="1"/>
  <c r="H74" i="5" l="1"/>
  <c r="H7" i="5" s="1"/>
  <c r="H6" i="5" s="1"/>
  <c r="H4" i="5" s="1"/>
  <c r="C10" i="6"/>
  <c r="E7" i="5"/>
  <c r="C3" i="6" s="1"/>
  <c r="Q257" i="5"/>
  <c r="L98" i="5"/>
  <c r="P98" i="5"/>
  <c r="F17" i="6"/>
  <c r="F4" i="6"/>
  <c r="E6" i="5" l="1"/>
  <c r="E4" i="5" s="1"/>
  <c r="E15" i="6"/>
  <c r="D15" i="6"/>
  <c r="Q98" i="5"/>
  <c r="C2" i="6" l="1"/>
  <c r="F15" i="6"/>
  <c r="D10" i="6"/>
  <c r="L7" i="5"/>
  <c r="E10" i="6"/>
  <c r="P7" i="5"/>
  <c r="P6" i="5" l="1"/>
  <c r="E3" i="6"/>
  <c r="D3" i="6"/>
  <c r="L6" i="5"/>
  <c r="F10" i="6"/>
  <c r="Q7" i="5"/>
  <c r="F3" i="6" l="1"/>
  <c r="Q6" i="5"/>
  <c r="L4" i="5"/>
  <c r="D2" i="6"/>
  <c r="E2" i="6"/>
  <c r="P4" i="5"/>
  <c r="F2" i="6" l="1"/>
  <c r="Q4" i="5"/>
</calcChain>
</file>

<file path=xl/sharedStrings.xml><?xml version="1.0" encoding="utf-8"?>
<sst xmlns="http://schemas.openxmlformats.org/spreadsheetml/2006/main" count="1281" uniqueCount="457">
  <si>
    <t>Montant total du Financement</t>
  </si>
  <si>
    <t>Composantes /Activités/Nature dépense</t>
  </si>
  <si>
    <t>unité</t>
  </si>
  <si>
    <t>Quantité</t>
  </si>
  <si>
    <t>Fréquence</t>
  </si>
  <si>
    <t>Coût unitaire (F CFA)</t>
  </si>
  <si>
    <t>Procédures d'acquisition</t>
  </si>
  <si>
    <t>Echéancier</t>
  </si>
  <si>
    <t>TOTAL PROJET (18 premiers mois)</t>
  </si>
  <si>
    <t>C</t>
  </si>
  <si>
    <t xml:space="preserve">S/C </t>
  </si>
  <si>
    <t>ILD 1</t>
  </si>
  <si>
    <t>Cout moyen participant</t>
  </si>
  <si>
    <t>RAF</t>
  </si>
  <si>
    <t>cout prestation</t>
  </si>
  <si>
    <t>Consultation des Fournisseurs</t>
  </si>
  <si>
    <t>SPM</t>
  </si>
  <si>
    <t>SQC</t>
  </si>
  <si>
    <t>Atelier</t>
  </si>
  <si>
    <t>H/J</t>
  </si>
  <si>
    <t>Services assimilés</t>
  </si>
  <si>
    <t xml:space="preserve">cout moyen/ entité </t>
  </si>
  <si>
    <t>cout moyen/radio</t>
  </si>
  <si>
    <t>Pré-pilote Alphabétisation familiale</t>
  </si>
  <si>
    <t>H/Mois</t>
  </si>
  <si>
    <t>Kit</t>
  </si>
  <si>
    <t>ILD 2</t>
  </si>
  <si>
    <t>Carte scolaire</t>
  </si>
  <si>
    <t>cout mission</t>
  </si>
  <si>
    <t xml:space="preserve">carte </t>
  </si>
  <si>
    <t>cout atelier</t>
  </si>
  <si>
    <t>ILD 4</t>
  </si>
  <si>
    <t>PNAPAS</t>
  </si>
  <si>
    <t>Recruter un Consultant pour réaliser une Etude sur la politique du livre en – CI</t>
  </si>
  <si>
    <t>ILD 5</t>
  </si>
  <si>
    <t>Formation des enseignants</t>
  </si>
  <si>
    <t>services de consultants</t>
  </si>
  <si>
    <t>forfait</t>
  </si>
  <si>
    <t>Contrat d'objectifs et de performance</t>
  </si>
  <si>
    <t>Organiser un atelier de  formation des membres du SE du COP sur les mécanismes du COP</t>
  </si>
  <si>
    <t>Gouvernance</t>
  </si>
  <si>
    <t>Appui à la Task Force</t>
  </si>
  <si>
    <t>Coordonnateur TF</t>
  </si>
  <si>
    <t>ED BROU N</t>
  </si>
  <si>
    <t>ED TOTI A</t>
  </si>
  <si>
    <t>missions</t>
  </si>
  <si>
    <t>Equipements et mobiliers</t>
  </si>
  <si>
    <t>Ateliers</t>
  </si>
  <si>
    <t>étude</t>
  </si>
  <si>
    <t>Forfait/an</t>
  </si>
  <si>
    <t>SSPM</t>
  </si>
  <si>
    <t>H/j</t>
  </si>
  <si>
    <t>SDC</t>
  </si>
  <si>
    <t>Véhicule/J</t>
  </si>
  <si>
    <t>Cout moyen/région</t>
  </si>
  <si>
    <t>Coordonnateur</t>
  </si>
  <si>
    <t>services assimilés</t>
  </si>
  <si>
    <t>cout moyen journalier/ participant</t>
  </si>
  <si>
    <t xml:space="preserve"> Gestion de projet (Fonctionnement)</t>
  </si>
  <si>
    <t>Comparaison de CV</t>
  </si>
  <si>
    <t>Cout/An</t>
  </si>
  <si>
    <t>Acquisitions pour l'Unité de Gestion du Projet</t>
  </si>
  <si>
    <t>Cout/annuel</t>
  </si>
  <si>
    <t>ED DAGROU</t>
  </si>
  <si>
    <t>Biens et Services</t>
  </si>
  <si>
    <t>Cout/Mois</t>
  </si>
  <si>
    <t>véhicule</t>
  </si>
  <si>
    <t>Cout moyen /Mois</t>
  </si>
  <si>
    <t>ED TOMPRO</t>
  </si>
  <si>
    <t>Cout moyen /bimestr</t>
  </si>
  <si>
    <t>ED CIE</t>
  </si>
  <si>
    <t>ED SODECI</t>
  </si>
  <si>
    <t>Badge</t>
  </si>
  <si>
    <t>enseigne</t>
  </si>
  <si>
    <t>Mission</t>
  </si>
  <si>
    <t>SSE</t>
  </si>
  <si>
    <t>Coût annuel moyen</t>
  </si>
  <si>
    <t>mission</t>
  </si>
  <si>
    <t>Prendre en charge des frais de transferts aux agents alphabétiseurs</t>
  </si>
  <si>
    <t>Organiser un atelier pour la mise en place de base données unique avec 15 agents de la DESPS et 41 Agents en DRENA pendant 15 jours</t>
  </si>
  <si>
    <t>Organiser un Atelier de validation institutionnelle du PNAPAS et de la SYNAPAS</t>
  </si>
  <si>
    <t>atelier</t>
  </si>
  <si>
    <t>Recruter un Consultant international pour appuyer la DPFC /MENA  afin de finaliser la PNAPAS  et la SYNAPAS</t>
  </si>
  <si>
    <t>Etudes</t>
  </si>
  <si>
    <t>Organiser 1 atelier de prise en main des applicatifs par les formateurs nationaux</t>
  </si>
  <si>
    <t>Organiser 2 ateliers de construction de la stratégie et du Programme avec les techniciens</t>
  </si>
  <si>
    <t xml:space="preserve">COMPOSANTE  : Assistance Technique </t>
  </si>
  <si>
    <t>Autre Appui au MENA</t>
  </si>
  <si>
    <t>transfert</t>
  </si>
  <si>
    <t>forfait/an</t>
  </si>
  <si>
    <t>SQE</t>
  </si>
  <si>
    <t>Services de consultant</t>
  </si>
  <si>
    <t>Rémunérer 1 Spécialiste en Economie de l'éducation</t>
  </si>
  <si>
    <t>Rémunérer 1 Spécialiste en Statistique de l'éducation</t>
  </si>
  <si>
    <t>Organiser un atelier de validation du document d’orientation pour le titrement des parcelles dédiées aux édifices scolaires</t>
  </si>
  <si>
    <t xml:space="preserve">Organiser la formation des acteurs du MENA sur le progiciel de gestion de l'expression des besoins pour la préparation des dossiers d'appel d'offres, de classement et d'archivage électronique pour les documents de passation des marchés du MENA </t>
  </si>
  <si>
    <t>Organiser des missions d'information et de sensibilisation des acteurs locaux aux activités de l'Opération (frais de missions)</t>
  </si>
  <si>
    <t>Organiser des missions d'information et de sensibilisation des acteurs locaux aux activités de l'Opération (location de véhicules avec carburant)</t>
  </si>
  <si>
    <t>Organiser la formation des Coordo COGES et tous les Points focaux sur les aspects de sauvegardes du Programme y compris les VBG/EAS/HS/MGP</t>
  </si>
  <si>
    <t>Remunération du personnel de Projet PRSEP</t>
  </si>
  <si>
    <t>Cout moyen /mois</t>
  </si>
  <si>
    <t xml:space="preserve">Recruter un Cabinet pour appuyer le MENA à  élaborer le référentiel des métiers et des compétences </t>
  </si>
  <si>
    <t>Volume/mois</t>
  </si>
  <si>
    <t xml:space="preserve"> Polices d'assurances obligatoires</t>
  </si>
  <si>
    <t>Cout/Trim</t>
  </si>
  <si>
    <t xml:space="preserve"> Suivi &amp; évaluation interne et externe</t>
  </si>
  <si>
    <t>Suivi et Evaluation interne</t>
  </si>
  <si>
    <t>Audit externe et vérification indépendante</t>
  </si>
  <si>
    <t>voyage d'étude</t>
  </si>
  <si>
    <t>Etude</t>
  </si>
  <si>
    <t xml:space="preserve">Atelier </t>
  </si>
  <si>
    <t>hom.jours</t>
  </si>
  <si>
    <t>Forfait</t>
  </si>
  <si>
    <t>ILD 3</t>
  </si>
  <si>
    <t>Stratégie nationale d’éducation inclusive</t>
  </si>
  <si>
    <t>évaluation</t>
  </si>
  <si>
    <t>Atelier de Formation des Agents de la DESPS à l'utilisation du logiciel ArGIS</t>
  </si>
  <si>
    <t>Prestataire</t>
  </si>
  <si>
    <t>licence</t>
  </si>
  <si>
    <t>Convention</t>
  </si>
  <si>
    <t>Contrat</t>
  </si>
  <si>
    <t>document</t>
  </si>
  <si>
    <t>Faire un pilote de la mise en œuvre  de la gestion des enseignants bivalents (obligations de services, charges horaires et mobilité de ces enseignants) dans un nombre limité de DRENA</t>
  </si>
  <si>
    <t>Cout forfait</t>
  </si>
  <si>
    <t>H.jour</t>
  </si>
  <si>
    <t xml:space="preserve">La réforme des collèges est progressivement mise en œuvre </t>
  </si>
  <si>
    <t>Les filles abandonnent moins leur scolarité au Collège</t>
  </si>
  <si>
    <t>V</t>
  </si>
  <si>
    <t>ILD 12</t>
  </si>
  <si>
    <t>ILD 11</t>
  </si>
  <si>
    <t>ILD 10</t>
  </si>
  <si>
    <t>ILD 9</t>
  </si>
  <si>
    <t>ILD 7</t>
  </si>
  <si>
    <t>S/C</t>
  </si>
  <si>
    <t>Plan d'Actions Prioritaires</t>
  </si>
  <si>
    <t>Appuis Technique aux Structures du MENA hors ILD</t>
  </si>
  <si>
    <t>Alphabétisation familiale</t>
  </si>
  <si>
    <t>Maintien des filles au Collège</t>
  </si>
  <si>
    <t xml:space="preserve">Réforme des collèges </t>
  </si>
  <si>
    <t>Evaluation standardisée des élèves du collège</t>
  </si>
  <si>
    <t>Appuis Techniques aux Structures du MENA  en lien avec les ILD</t>
  </si>
  <si>
    <t xml:space="preserve">Appui à l'institutionnalisation et  la mise en place de la CAC </t>
  </si>
  <si>
    <t>DAAJE</t>
  </si>
  <si>
    <t>Organiser 2 ateliers de construction de la stratégie avec les techniciens</t>
  </si>
  <si>
    <t xml:space="preserve">Organiser 1 atelier de construction de la politique du livre avec les techniciens du MENA </t>
  </si>
  <si>
    <t>Organiser un Atelier de validation technique de la politique du livre</t>
  </si>
  <si>
    <t>Statut</t>
  </si>
  <si>
    <t xml:space="preserve">Tdrs disponibles </t>
  </si>
  <si>
    <t>NA</t>
  </si>
  <si>
    <t>AMI en cours</t>
  </si>
  <si>
    <t>En cours</t>
  </si>
  <si>
    <t>Achevée</t>
  </si>
  <si>
    <t xml:space="preserve">NA </t>
  </si>
  <si>
    <t>Achevé</t>
  </si>
  <si>
    <t>Organiser (02) missions d'imprégnation des expériences d'alphabétisation familiale, de santé et nutrition et d'autonomisation de la femme au Rwanda et au Maroc  </t>
  </si>
  <si>
    <t>DVSP</t>
  </si>
  <si>
    <t>DESPS</t>
  </si>
  <si>
    <t>Montant Engagé</t>
  </si>
  <si>
    <t>A</t>
  </si>
  <si>
    <t>T</t>
  </si>
  <si>
    <t>Organiser un atelier de conception des syllabaires et calculaires niveau2</t>
  </si>
  <si>
    <t>Organiser l'atelier de formation de 80 acteurs du PRSEP sur la GAR</t>
  </si>
  <si>
    <t>Montant en DRF2à6</t>
  </si>
  <si>
    <t>Paiement non en DRF</t>
  </si>
  <si>
    <t>PROGRAMMATION 2025</t>
  </si>
  <si>
    <t>Coût total 2025 ( FCFA)</t>
  </si>
  <si>
    <t>RESTE PTBA 2024 à planifier</t>
  </si>
  <si>
    <t>Coût total 2024 ( FCFA)</t>
  </si>
  <si>
    <t>Coût total à exécuter PTBA 2025 ( FCFA)</t>
  </si>
  <si>
    <t>Contrat chef le CF</t>
  </si>
  <si>
    <t>en attente de négociation/ en attente Rapport consultant SNA/PNAFN</t>
  </si>
  <si>
    <t>EN ATTENTE ANO DE LA Bm</t>
  </si>
  <si>
    <t>Activités achevées</t>
  </si>
  <si>
    <t>spécification en cours de confirmation</t>
  </si>
  <si>
    <t>h/J</t>
  </si>
  <si>
    <t>en attente d'acquisition</t>
  </si>
  <si>
    <t>carburant</t>
  </si>
  <si>
    <t>Cout moyen/site</t>
  </si>
  <si>
    <t>Prendre en charge des frais de transferts des frais d'ateliers</t>
  </si>
  <si>
    <t>En attente des TDR</t>
  </si>
  <si>
    <t>dotation trimestriel</t>
  </si>
  <si>
    <t>h/j</t>
  </si>
  <si>
    <t>Organiser l'atelier de Revue finale du Prépilote</t>
  </si>
  <si>
    <t>en attente du déclenchement de la DC</t>
  </si>
  <si>
    <t>Procédure d'acquisition en phase finale</t>
  </si>
  <si>
    <t>Kit ordi</t>
  </si>
  <si>
    <t>en attente des spécifications techniques après la mise à jour de la base de données</t>
  </si>
  <si>
    <t>en attente des TDR</t>
  </si>
  <si>
    <t>documents à reproduire disponible</t>
  </si>
  <si>
    <t>négociation en cours en cours</t>
  </si>
  <si>
    <t>Forfait/Jour</t>
  </si>
  <si>
    <t>AMI En cours</t>
  </si>
  <si>
    <t>En ATTENTE DE VALIDATION DU PAQUET MINIMUM</t>
  </si>
  <si>
    <t>IGENA</t>
  </si>
  <si>
    <t>DELC</t>
  </si>
  <si>
    <t>DAPS COGES</t>
  </si>
  <si>
    <t>cout prestation/J</t>
  </si>
  <si>
    <t>finalisation du PV de négociation en cours</t>
  </si>
  <si>
    <t>en attente de confirmation de la disponibilité chez le prestataire</t>
  </si>
  <si>
    <t>Recruter 2 assistants comptable pour renforcer la DAF/MENA</t>
  </si>
  <si>
    <t xml:space="preserve">Organiser des missions d'information et de sensibilisation des acteurs locaux aux activités de l'Opération (Phase Alphabétisation familiale) </t>
  </si>
  <si>
    <t>ateliers</t>
  </si>
  <si>
    <t>SSEG</t>
  </si>
  <si>
    <t>Cout moyen/localité</t>
  </si>
  <si>
    <t>Organiser 3 missions de supervision des Directions centrales</t>
  </si>
  <si>
    <t>Louer des véhicules pour la distribution des documents en lien avec la PNAPAS dans les IEPP</t>
  </si>
  <si>
    <t>Organiser un atelier Technique de construction de la Politique Linguistique</t>
  </si>
  <si>
    <t>Organiser un atelier de validation technique de la Politique Linguistique</t>
  </si>
  <si>
    <t>Organiser un atelier d'harmonisation du canevas de rapportage des DRENA</t>
  </si>
  <si>
    <t>Organiser des Formations à la demande des membres de la Task Force</t>
  </si>
  <si>
    <t>Appuyer le prochain cycle de planification sectorielle (RESEN 2025, actualisation du MSFE, Plan stratégique sectoriel 2026-2035, actualisation du POSE, plan d'action 2026-2030</t>
  </si>
  <si>
    <t>Organiser un atelier d'appropriation du Plan sectoriel Education par les Structures centrales du MENA et des DRENA</t>
  </si>
  <si>
    <t>Organiser un atelier d'élaboration du plan d'action MGP , VBG et environnement&amp; Social</t>
  </si>
  <si>
    <t>Assurer la rémunération du personnel</t>
  </si>
  <si>
    <t>Payer les Impôts sur salaire +charges sociales (part patronale )</t>
  </si>
  <si>
    <t>Exécuter le contrat de location  Siège UGP</t>
  </si>
  <si>
    <t>Payer les Contrats  assurance   (Multirisque prof)</t>
  </si>
  <si>
    <t xml:space="preserve">Payer les Contrats  assurance matériel roulant </t>
  </si>
  <si>
    <t>Payer les Contrats  assurance Santé</t>
  </si>
  <si>
    <t>Payer les Contrats  assurance  individuel accident</t>
  </si>
  <si>
    <t>Payer la Connexion internet de l'UGP</t>
  </si>
  <si>
    <t>Payer l'abonnement téléphone de l'UGP</t>
  </si>
  <si>
    <t xml:space="preserve">Assurer le Tracking des véhicules de l'UGP(Suivi par GPS) </t>
  </si>
  <si>
    <t>Mettre en œuvre le contrat de Sécurité et de Gardiennage du siège de l'UGP</t>
  </si>
  <si>
    <t>Mettre en œuvre le contrat  d'entretien des locaux de l'UGP</t>
  </si>
  <si>
    <t>Assurer l'entretien et la maintenance du réseaux internet et téléphone</t>
  </si>
  <si>
    <t>Assurer l'entretien et la maintenance des équipements  informatiques et matériel de bureau</t>
  </si>
  <si>
    <t>Payer l'abonnement d'électricité CIE</t>
  </si>
  <si>
    <t>Payer l'abonnement d'Eau SODECI</t>
  </si>
  <si>
    <t>Prendre en charge les frais de tenue de compte</t>
  </si>
  <si>
    <t>Prendre en charge les frais d'avis de publication des différents marchés</t>
  </si>
  <si>
    <t>Organiser des ateliers d'analyse des AMI</t>
  </si>
  <si>
    <t>Prendre en charge l'enregistrement de contrat à DGPM</t>
  </si>
  <si>
    <t>Elaborer des Badges pour le personnel et visiteurs</t>
  </si>
  <si>
    <t xml:space="preserve">Elaborer des Enseignes pour l'identification du siège </t>
  </si>
  <si>
    <t>Prendre en charge une partie de la contribution au financement du PASEC 2024</t>
  </si>
  <si>
    <t>Organiser des ateliers à la demande des structures du MENA</t>
  </si>
  <si>
    <t xml:space="preserve">Appui à l'institutionnalisation et  la mise en place de la CAC-RE </t>
  </si>
  <si>
    <t>ILD 6</t>
  </si>
  <si>
    <t>Les résultats d'apprentissage des élèves de CE1 sont améliorés en lecture/écriture et en Mathématiques</t>
  </si>
  <si>
    <t>Prendre en charge le renforcement des capacités de l'équipe technique de la DVSP</t>
  </si>
  <si>
    <t>Coordo</t>
  </si>
  <si>
    <t>pers</t>
  </si>
  <si>
    <t>h/Mois</t>
  </si>
  <si>
    <t>achevé</t>
  </si>
  <si>
    <t xml:space="preserve">Assurer la Maintenance et l'entretien du  logiciel de comptabilité et de gestion /autres logiciels de gestion de projet </t>
  </si>
  <si>
    <t>Réinstaller/réhabiliter  le système réseau  internet et téléphone du bureau de l'UGP</t>
  </si>
  <si>
    <t>ACHEVEE</t>
  </si>
  <si>
    <t>Phase d'analyse des offres</t>
  </si>
  <si>
    <t>Alphabétisation familiale, Santé et Nutrition:</t>
  </si>
  <si>
    <t>DMDA</t>
  </si>
  <si>
    <t>DCSPA</t>
  </si>
  <si>
    <t>Organiser 2 ateliers techniques pour l'état des lieux COGES</t>
  </si>
  <si>
    <t>DRH</t>
  </si>
  <si>
    <t>DAJC</t>
  </si>
  <si>
    <t>Suivi UGP</t>
  </si>
  <si>
    <t>RESPONSABLE MENA</t>
  </si>
  <si>
    <t>DCEP</t>
  </si>
  <si>
    <t>IGC</t>
  </si>
  <si>
    <t>DEEG</t>
  </si>
  <si>
    <t>DPFC</t>
  </si>
  <si>
    <t>DTSI</t>
  </si>
  <si>
    <t xml:space="preserve"> CAC-RE</t>
  </si>
  <si>
    <t>SE-COP</t>
  </si>
  <si>
    <t>DAF</t>
  </si>
  <si>
    <t>DE</t>
  </si>
  <si>
    <t xml:space="preserve">DE </t>
  </si>
  <si>
    <t>Organiser un Atelier d'élaboration des outils du post-alphabétisation et des thèmes éducatifs</t>
  </si>
  <si>
    <t>Organiser des ateliers de formations des CIEPA et superviseurs AENF sur les outils de suivi et évaluation des programmes d'alphabétisation</t>
  </si>
  <si>
    <t>CAC-RE</t>
  </si>
  <si>
    <t>Les compétences des élèves de collèges sont évaluées à grande échelle et de façon standardisée</t>
  </si>
  <si>
    <t>UGP</t>
  </si>
  <si>
    <t>Prendre en charge des frais de transferts restitution et prise en main de l'applicatif</t>
  </si>
  <si>
    <t>Reste à payer</t>
  </si>
  <si>
    <t>Id</t>
  </si>
  <si>
    <t>Composantes /Activités</t>
  </si>
  <si>
    <t>Renforcement des capacités du personnel</t>
  </si>
  <si>
    <t>Prendre en charge le renforcement des capacités du personnel après évaluation</t>
  </si>
  <si>
    <t>Service de consultance</t>
  </si>
  <si>
    <t>service de consultance</t>
  </si>
  <si>
    <t>Fournitures</t>
  </si>
  <si>
    <t>Organiser des ateliers pour créer un fond de lecture dédié à la santé sexuelle et reproductive dans les bibliothèques scolaires, avec des ressources éducatives adaptées aux jeunes filles</t>
  </si>
  <si>
    <t>Recruter un prestataire pour l'édition et la reproduction du document de la SNA  et de PNAFN en 500 exemplaires</t>
  </si>
  <si>
    <t>Louer des véhicules pour la distribution des kits centres dans les 28 localités</t>
  </si>
  <si>
    <t>Sélectionner un prestataire pour imprimer 41 cartes des DRENA et des 2 Districts Autonomes</t>
  </si>
  <si>
    <t>Former les agents chargés de statistiques en IEPP et en DRENA au remplissage des questionnaires et à l’utilisation de STATMENET 2</t>
  </si>
  <si>
    <t>Organiser la mission d'évaluation environnementale et sociale des sites de constructions des 2 CAFOP de Séguéla et Dimbokro</t>
  </si>
  <si>
    <t>Sélectionner un prestataire pour la reprographie y compris infographie de la SNAPAS (22 pages), de PNAPAS (105 pages)</t>
  </si>
  <si>
    <t>Sélectionner un prestataire pour reprographie y compris infographie des grandes orientations didactiques et pédagogiques (56pages)</t>
  </si>
  <si>
    <t>Organiser la prise en main des applicatifs par les acteurs en région (CPPP, IEPP…)(format journées pédagogiques avec 2500f/ens et 1000f/ens pour les formateurs)</t>
  </si>
  <si>
    <t xml:space="preserve">Organiser un atelier de restitution et de validation des livrables du consultant en appui à la DEEG </t>
  </si>
  <si>
    <t>Sélectionner un cabinet pour élaborer un document cadre d’évaluation  des écoles primaires et des collèges publics et privés y compris les outils de collecte, l'applicatif et le plan de communication</t>
  </si>
  <si>
    <t xml:space="preserve">Organiser un atelier de prise en main de l'applicatif à l'attention des formateurs nationaux </t>
  </si>
  <si>
    <t>Organiser un atelier de validation du Manuel de procédures de la DAPS COGES</t>
  </si>
  <si>
    <t>Sélectionner un consultant individuel pour l'élaboration du Manuel de procédures de la DAPS COGES</t>
  </si>
  <si>
    <t>Sélectionner un cabinet pour la réalisation de l'état des lieux du fonctionnement des COGES en Côte d'Ivoire</t>
  </si>
  <si>
    <t>Organiser l'atelier de partage de l'initiative IRR avec les Directeurs centraux</t>
  </si>
  <si>
    <t>Organiser un atelier de consolidation du Rapport de performance du secteur Education-Formation 2024</t>
  </si>
  <si>
    <t>Sélectionner un cabinet pour l'actualisation de l'étude sur le bien-être et la sécurité des élèves dans les établissements de Côte d'Ivoire</t>
  </si>
  <si>
    <t>Sélectionner un consultant individuel national pour l'évaluation finale du PSE 2016-2025</t>
  </si>
  <si>
    <t>Organiser des missions de collecte de données dans le cadre de la réalisation de l'étude sur les élèves porteurs de handicap</t>
  </si>
  <si>
    <t xml:space="preserve">Sélectionner un consultant pour réaliser une étude sur les dispositifs  d'intégration des enfants réfugiés en âge scolaire </t>
  </si>
  <si>
    <t xml:space="preserve">Organiser des missions trimestrielles de suivi de la mise en œuvre du plan sectoriel éducation-formation (PSE) </t>
  </si>
  <si>
    <t>CPMP</t>
  </si>
  <si>
    <t>Organiser un atelier de formation des points focaux des structures centrales du MENA les aspects de sauvegardes de l'Opération PRSEB</t>
  </si>
  <si>
    <t>Sélectionner un cabinet vérificateur indépendant pour les ILD1, 2 ,4, 5, 9, 10</t>
  </si>
  <si>
    <t>Sélectionner un cabinet vérificateur indépendant pour les ILD 3,7 , 8 et 11</t>
  </si>
  <si>
    <t>Sélectionner un cabinet d'audit externe des comptes 2024 du Projet PRSEB</t>
  </si>
  <si>
    <t>Organiser des missions de supervision (1 fois par semestre)</t>
  </si>
  <si>
    <t>Organiser des missions de suivi et évaluation (1 fois par trimestre)</t>
  </si>
  <si>
    <t>Organiser des missions d'appui technique pour la mise en œuvre des activités du programme ( par bimestre)</t>
  </si>
  <si>
    <t>Volume atelier</t>
  </si>
  <si>
    <t>volume frais de transfert</t>
  </si>
  <si>
    <t>Besoin en global money (TresorPay)</t>
  </si>
  <si>
    <t>Polices d'assurances obligatoires</t>
  </si>
  <si>
    <t>Catégorie de dépense</t>
  </si>
  <si>
    <t xml:space="preserve">Contrat du SPM du Projet PRSEB  </t>
  </si>
  <si>
    <t xml:space="preserve">Contrat du RAF du Projet PRSEB </t>
  </si>
  <si>
    <t>Contrat du chauffeur du Projet PRSEB KOBENA</t>
  </si>
  <si>
    <t>Contrat du chauffeur du Projet PRSEB  N'DRI</t>
  </si>
  <si>
    <t>Contrat du chauffeur du Projet PRSEB  KOUAKOU Joel</t>
  </si>
  <si>
    <t>Contrat de assistant comptable du Projet PRSEB  YOBOUET</t>
  </si>
  <si>
    <t xml:space="preserve">Contrat du SDC glan doho marie paul </t>
  </si>
  <si>
    <t>Contrat du SQE oria alain</t>
  </si>
  <si>
    <t xml:space="preserve">Contrat  de l'assistant en passation des marches N°1 KAMISSOKO </t>
  </si>
  <si>
    <t xml:space="preserve">Contrat de l'assistante archiviste YAO </t>
  </si>
  <si>
    <t>Contrat  du comptable ASSALE</t>
  </si>
  <si>
    <t>contrat Spécialiste en sauvegarde environnementale, sociale et genre</t>
  </si>
  <si>
    <t>contrat de assistant en passation des marchés  n°2</t>
  </si>
  <si>
    <t>contrat de assistant comptable  n°2</t>
  </si>
  <si>
    <t>Appuyer le renforcement des capacités de la Cellule de coordination et de Suivi des Projets et Programmes Financés ou Cofinancés par la Banque mondiale: FORMATION PUBLIC- ADMINISTRATION SKILLS DEVELOPMENT (Public-ASD)</t>
  </si>
  <si>
    <t>pers.</t>
  </si>
  <si>
    <t>Organiser un atelier de présentation de la version finale de l'outils carte scolaire améliorée</t>
  </si>
  <si>
    <t>forfait/ Contribution</t>
  </si>
  <si>
    <t>Appuis Techniques aux Structures du MENA  en lien avec les Indicateurs Liés aux Décaissements</t>
  </si>
  <si>
    <t>Formation et séminaires</t>
  </si>
  <si>
    <t>Recruter d’un consultant individuel pour la révision de la Stratégie Nationale d'Alphabétisation (SNA) et l'élaboration du programme nationale d'alphabétisation familiale et nutrition (PNAFN)</t>
  </si>
  <si>
    <t>Recruter un Cabinet pour la conception des outils didactiques de l'Alphabétisation familiale et Nutrition intégrant les VBG + formation du Pool national d'experts</t>
  </si>
  <si>
    <t>Organiser un Ateliers technique de construction des outils didactiques de l'Alphabétisation familiale et Nutrition intégrant les VBG</t>
  </si>
  <si>
    <t>Organiser un Atelier de validation des outils didactiques de l'Alphabétisation familiale et Nutrition intégrant les VBG</t>
  </si>
  <si>
    <t>Organiser un Atelier de formation des correspondants DAAJE au Système de Gestion des Centres d'alphabétisation</t>
  </si>
  <si>
    <t>Début
Exécution</t>
  </si>
  <si>
    <t>Organiser un Atelier de validation de la Stratégie Nationale d'Alphabétisation revue (SNA) et du Programme Nationale d'Alphabétisation Familiale et Nutrition (PNAFN)</t>
  </si>
  <si>
    <t>Recruter par entente directe l'ANStat pour réaliser une enquête nationale spécifique sur l'alphabétisation</t>
  </si>
  <si>
    <t>Organiser un atelier de définition du mode opératoire, des outils  et de la feuille de route du pré-pilote et Atelier de validation des COGES du Pré-pilote</t>
  </si>
  <si>
    <t>Sélectionner un prestataire pour l'édition et la reproduction de  manuels et guides (centres et apprenants)</t>
  </si>
  <si>
    <t>Acquérir des fournitures pour les apprenants et les centres d'alphabétisation</t>
  </si>
  <si>
    <t>Sélectionner une agence pour la révision de capsules vidéo et audio portant sur l'éducation parentale</t>
  </si>
  <si>
    <t>Sélectionner 20 radios locales pour assurer la diffusion des capsules dans la zone d'intervention</t>
  </si>
  <si>
    <t>Qualification du consultant</t>
  </si>
  <si>
    <t>Mettre à la disposition des CIEPA du carburant pour l'organisation du recrutement des agents alphabétiseurs communautaires du pré-pilote</t>
  </si>
  <si>
    <t>Organiser la Formation initiale des agents alphabétiseurs + Agent CIEPA + superviseurs en DRENA y compris leur initiation a la prévention des VBG</t>
  </si>
  <si>
    <t>Prendre en charge consultants individuels Alphabétiseurs _pré-pilote d’alphabétisation familiale -  (rémunération+ déplacement pour retrait+ divers charges sociales )</t>
  </si>
  <si>
    <t>Acquérir du carburant pour les CIEPA en charge du suivi des centres d'alphabétisation</t>
  </si>
  <si>
    <t xml:space="preserve">Acquérir du carburant pour les superviseurs AENF en charge de la  supervision des centres d'alphabétisation </t>
  </si>
  <si>
    <t xml:space="preserve">Organiser une mission de Géoréférencement des nouvelles écoles sans coordonnées géographiques </t>
  </si>
  <si>
    <t>Organiser un atelier de Restitution des nouvelles fonctions de l'étude carte scolaire</t>
  </si>
  <si>
    <t>Acquérir 10 licences  ArCGIS pour l'opérationnalisation de l'applicatif de l'outils carte scolaire y comprise la prise en main</t>
  </si>
  <si>
    <t>Acquérir 41 laptop complet avec logiciel et sac pour les correspondants DESPS en région pour l'appui aux campagnes statistiques</t>
  </si>
  <si>
    <t>Organiser un atelier de révision de la procédure du report de scolarité dans le système éducatif ivoirien</t>
  </si>
  <si>
    <t>Organiser un atelier de révision des outils de collecte de données et du mécanisme de gestion des grossesses en cours de scolarité et les violences basées sur le genre en milieu scolaire</t>
  </si>
  <si>
    <t>Sélectionner un Cabinet pour le développement un applicatif pour (i)les observations de classes et d'analyse des données, (ii) la distribution des manuels et (iii) le suivi de la formation des enseignants; (iv) visite médicale</t>
  </si>
  <si>
    <t>Organiser 1 atelier de restitution des applicatifs pour (i)les observations de classes et d'analyse des données, (ii) la distribution des manuels et (iii) le suivi de la formation des enseignants; (iv) visite médicale</t>
  </si>
  <si>
    <t>Organiser la révision des manuels scolaires et des intrants pédagogiques de ce1 et ce2 (français et mathématiques) puis leurs homologations</t>
  </si>
  <si>
    <t>Sélectionner un consultant international en appui à la DPFC pour développer les outils pédagogiques du CM1 et du CM2</t>
  </si>
  <si>
    <t xml:space="preserve">Organiser des ateliers pour développer les outils pédagogiques pour le CM1 et CM2 </t>
  </si>
  <si>
    <t>Sélectionner un consultant pour l'élaboration du document cadre et  du manuel de procédure en vue de l'opérationnalisation de la CAC-RE</t>
  </si>
  <si>
    <t>Sélectionner un consultant pour élaborer un projet de politique linguistique éducative de la Côte d'Ivoire</t>
  </si>
  <si>
    <t>en attente du démarrage de l'étude</t>
  </si>
  <si>
    <t xml:space="preserve">Sélectionner un Consultant Individuel pour appuyer la DEEG à l'organisation d'un forum sur la scolarisation et la rétention de la jeune fille </t>
  </si>
  <si>
    <t xml:space="preserve">Sélectionner une agence évènementielle en appui à la DEEG pour l'organisation des consultations nationale et régionales relatives à la scolarisation et la rétention de la jeune fille y compris le développement, la reproduction et la diffusion de supports de communication </t>
  </si>
  <si>
    <t>Sélectionner un prestataire pour la conception et le montage des supports liés au fond de lecture dédié à la santé sexuelle et reproductive dans les bibliothèques scolaires, avec des ressources éducatives adaptées aux jeunes filles</t>
  </si>
  <si>
    <t>Sélectionner par entente directe l'UNICEF pour appuyer le MENA pendant 2 années à implémenter  le paquet d'appui à la rétention des filles au collège dans au moins 66 collèges  (Année 1 et 2)</t>
  </si>
  <si>
    <t>Cout. Annuel</t>
  </si>
  <si>
    <t xml:space="preserve">Sélectionner un Cabinet pour évaluer l'impact de la politique des collèges de proximité sur la scolarisation des filles </t>
  </si>
  <si>
    <t>Organiser un atelier pour construire les outils de l'évaluation des écoles primaires et collèges privés et publics</t>
  </si>
  <si>
    <t>Sélectionner un cabinet pour élaborer un document cadre de gestion des enseignants bivalents (obligations de services, charges horaires et mobilité de ces enseignants)</t>
  </si>
  <si>
    <t>Organiser 2 ateliers techniques d'élaboration et de validation du document de gestion des enseignants bivalents</t>
  </si>
  <si>
    <t>Sélectionner un Consultant individuel pour évaluer l'impact de la généralisation du BONAMAS sur la disponibilité des manuels scolaires au collège y compris l'ajustement du modèle pour réduire les coûts pour les familles</t>
  </si>
  <si>
    <t>Sélectionner un consultant pour élaborer le document d’orientation pour le titrement des parcelles dédiées aux édifices scolaires y compris la procédure (don de terrain ou achat) pour l'acquisition de terrains destinés à la construction d'infrastructures scolaires</t>
  </si>
  <si>
    <t>Organiser un atelier de préparation de la mission d'imprégnation de l'initiative pour les résultats rapides</t>
  </si>
  <si>
    <t>Sélectionner un cabinet pour la redéfinition des missions des corps d'inspection du MENA</t>
  </si>
  <si>
    <t>Appuyer l'organisation de la revue conjointe du secteur Education-Formation</t>
  </si>
  <si>
    <t>Acquérir du matériels informatiques pour la cellule technique de la Task Force(06 Ordinateurs portables + 06 Disques externes SSD 1 To +02 Vidéo projecteur Bluetooth (Full HD), 01 Photocopieur professionnel multifonctions)</t>
  </si>
  <si>
    <t>livraison prévue pour le 10 octobre 2024</t>
  </si>
  <si>
    <t>Acquérir du mobilier de bureau au profit de la Task Force</t>
  </si>
  <si>
    <t>Acquérir un véhicule de service de type 4X4 pour la Task Force</t>
  </si>
  <si>
    <t>Organiser l'atelier de consolidation de la Matrice de suivi des indicateurs de résultats  (MASIR) 2024 du PSE</t>
  </si>
  <si>
    <t>Organiser l'atelier de consolidation de la Matrice de suivi de la mise en œuvre des activités (MASMO) 2024 du PSE</t>
  </si>
  <si>
    <t>Renforcer les capacités de la DAF à l'élaboration des rapport financier intérimaire</t>
  </si>
  <si>
    <t>Recruter un consultant pour une étude de faisabilité d'un système d'archivage électronique pour le système d'archivage électronique de la CPMP</t>
  </si>
  <si>
    <t>Acquérir des équipements pour le système d'archivage électronique du CPMP du MENA</t>
  </si>
  <si>
    <t>Organiser des missions d'information et de sensibilisation des acteurs locaux aux activités de l'Opération (frais d'organisation et logistique)</t>
  </si>
  <si>
    <t>Organiser le lancement du PRSEB (cérémonie + Communication)</t>
  </si>
  <si>
    <t>Cérémonie</t>
  </si>
  <si>
    <t>Sélectionner un Cabinet pour l'élaboration d'un système de planification et de système suivi évaluation du Programme y compris l'assistance technique pendant 10 mois</t>
  </si>
  <si>
    <t>organiser un atelier de planification pour le PTBA 2025 (y compris services d'hôtellerie pour 60 personnes pendant 7 jours pour 3 regroupements + 1 regroupement de 15 personnes pendant 7 jours)</t>
  </si>
  <si>
    <t xml:space="preserve">Sélectionner un firme spécialisé dans la gestion de centres d'appel pour recueillir les réactions des bénéficiaires du Programme ( commentaires sur l'ensemble des activités du Programme et/ou pourront se concentrer sur des aspects spécifiques tels le paquet d'appui à la rétention des filles ; commentaires sur la disponibilité et la qualité des manuels scolaires, etc.). </t>
  </si>
  <si>
    <t>Rémunération du personnel de Projet PRSEB</t>
  </si>
  <si>
    <t xml:space="preserve">Contrat du coordonnateur du Projet PRSEB  </t>
  </si>
  <si>
    <t>Contrat du Spécialiste suivi évaluation SSE du Projet PRSEB</t>
  </si>
  <si>
    <t xml:space="preserve">Contrat de l'IGC  Bally agnifiault hermann aristide       </t>
  </si>
  <si>
    <t xml:space="preserve">Contrat de l'assistant comptable ALAIN </t>
  </si>
  <si>
    <t>indemnité de stagiaire ENSEA</t>
  </si>
  <si>
    <t>Contrat  de l'assistant en suivi et évaluation  BILE</t>
  </si>
  <si>
    <t>contrat de secrétaire</t>
  </si>
  <si>
    <t>Acquérir le matériel de bureau y compris le service de maintenance 1 an (photocopieur grand tirage, scanner pour GED, 5 imprimantes multifonction de bureau)+1 imprimante mobile +équipements IGF (1imprimante et 1 scanner portatif°</t>
  </si>
  <si>
    <t>Acquérir Autres matériels techniques ( 3 vidéoprojecteurs)</t>
  </si>
  <si>
    <t>Acquérir Autres matériels techniques ( 16  APC)</t>
  </si>
  <si>
    <t>Acquérir Autres matériels techniques (1 Onduleur de grande capacité)</t>
  </si>
  <si>
    <t>Acquérir Autres matériels techniques ( 1 Camera appareil photo)</t>
  </si>
  <si>
    <t>Acquérir Autres matériels techniques ( 3 broyeurs individuels, 3 grands broyeurs)</t>
  </si>
  <si>
    <t>Acquérir  matériels informatiques y compris le service de maintenance 1 an (9 ordinateurs portables, 8 desktop)+ AN2 (3 ordinateurs portables, 2 desktop)</t>
  </si>
  <si>
    <t>Acquérir des Fournitures de bureau AN1 et AN2</t>
  </si>
  <si>
    <t>Acquérir des consommables informatiques AN1 et AN2</t>
  </si>
  <si>
    <t>Acquérir du carburant pour le fonctionnement de l'UGP</t>
  </si>
  <si>
    <t>Acquérir deux véhicules pour l'UGP de type 4X4 (7 places et double réservoirs)</t>
  </si>
  <si>
    <t>Entretenir les véhicules de l'UGP+ pneumatiques</t>
  </si>
  <si>
    <t>Acquérir le logiciel de comptabilité, de gestion et de paie multi projet y compris le paramétrage</t>
  </si>
  <si>
    <t>Acquérir  et installer un Groupe électrogène pour les Bureaux de l'UGP</t>
  </si>
  <si>
    <t>Assurer l'entretien des équipements et installations split, électricité, plomberie+ divers petits travaux</t>
  </si>
  <si>
    <t>Acheter des split de remplacement de ceux non réparables</t>
  </si>
  <si>
    <t>split</t>
  </si>
  <si>
    <t>Cout moyen /Trimestre</t>
  </si>
  <si>
    <t>Acquérir et installer un réservoir d'eau</t>
  </si>
  <si>
    <t xml:space="preserve">Prendre en charge les frais de réception </t>
  </si>
  <si>
    <t>Sélectionner un agent vérificateur indépendant pour les résultats d'apprentissage (ILD6 et 12)</t>
  </si>
  <si>
    <t>Sélectionner un cabinet pour la formation en Gestion Axée sur les Résultats (GAR) des acteurs impliques dans la mise en œuvre du PforR</t>
  </si>
  <si>
    <t>Sélectionner un consultant  pour l'élaboration d'un manuel de contrôle interne des directions techniques et régionales</t>
  </si>
  <si>
    <t>Sélectionner un Cabinet pour la réalisation d'une cartographie des Prestataires de services en violence basée sur le genre au niveau national</t>
  </si>
  <si>
    <t>Organiser l'évaluation nationale aux normes et aux standards des centres préscolaires et des classes pré primaires</t>
  </si>
  <si>
    <t>Sélectionner un consultant individuel pour la documentation du modèle Préscolaire communautaire mis en œuvre dans le cadre du PAPSE en Côte d'Ivoire</t>
  </si>
  <si>
    <t>achevée</t>
  </si>
  <si>
    <t>Autre Appui institutionnel</t>
  </si>
  <si>
    <t>Sélectionner  un cabinet en appui à la DESPS pour Renforcer l’outil carte scolaire en intégrant des interfaces additionnelles </t>
  </si>
  <si>
    <t>TF/DESPS</t>
  </si>
  <si>
    <t>Révision de la loi sur l'enseignement général en Côte d'Ivoire</t>
  </si>
  <si>
    <t>Sélectionner un Consultant individuel pour appuyer le MENA à rédiger un avant-projet de loi sur l'enseignement général en Côte d'Ivoire</t>
  </si>
  <si>
    <t>Prendre en charge la mission d'imprégnation de l'initiative pour les résultats rapides au Cameroun et au Kenya</t>
  </si>
  <si>
    <t>Appui à la dynamisation du CICSEF</t>
  </si>
  <si>
    <t>JANVIER</t>
  </si>
  <si>
    <t>FÉVRIER</t>
  </si>
  <si>
    <t>MARS</t>
  </si>
  <si>
    <t>AVRIL</t>
  </si>
  <si>
    <t>MAI</t>
  </si>
  <si>
    <t>JUIN</t>
  </si>
  <si>
    <t>JUILLET</t>
  </si>
  <si>
    <t>AOÛT</t>
  </si>
  <si>
    <t>SEPTEMBRE</t>
  </si>
  <si>
    <t>OCTOBRE</t>
  </si>
  <si>
    <t>NOVEMBRE</t>
  </si>
  <si>
    <t>DÉCEMBRE</t>
  </si>
  <si>
    <t xml:space="preserve"> 15S13500</t>
  </si>
  <si>
    <t>Étude sur les compétences digitales des enseignants et conseillers pédagogiques</t>
  </si>
  <si>
    <t>Organiser 4 ateliers residentiels Techniques et de validation  et 8 regroupement non résidentiel de construction de l'avant-projet de loi sur l'enseignement général en Côte d'Ivoire</t>
  </si>
  <si>
    <t>contrat du chargé communication</t>
  </si>
  <si>
    <t>Organiser un atelier de validation du rapport de l'étude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</si>
</sst>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 #,##0_-;\-* #,##0_-;_-* &quot;-&quot;??_-;_-@_-"/>
    <numFmt numFmtId="165" formatCode="_(* #,##0_);_(* \(#,##0\);_(* &quot;-&quot;??_);_(@_)"/>
  </numFmts>
  <fonts count="59" x14ac:knownFonts="1">
    <font>
      <sz val="11"/>
      <color theme="1"/>
      <name val="Calibri"/>
      <family val="2"/>
      <scheme val="minor"/>
    </font>
    <font>
      <sz val="11"/>
      <color theme="1"/>
      <name val="Calibri"/>
      <family val="2"/>
      <scheme val="minor"/>
    </font>
    <font>
      <sz val="10"/>
      <color theme="1"/>
      <name val="Century Gothic"/>
      <family val="2"/>
    </font>
    <font>
      <b/>
      <sz val="10"/>
      <color theme="1"/>
      <name val="Century Gothic"/>
      <family val="2"/>
    </font>
    <font>
      <b/>
      <sz val="11"/>
      <name val="Century Gothic"/>
      <family val="2"/>
    </font>
    <font>
      <sz val="14"/>
      <name val="Century Gothic"/>
      <family val="2"/>
    </font>
    <font>
      <sz val="10"/>
      <name val="Century Gothic"/>
      <family val="2"/>
    </font>
    <font>
      <sz val="11"/>
      <name val="Century Gothic"/>
      <family val="2"/>
    </font>
    <font>
      <b/>
      <sz val="12"/>
      <color theme="1"/>
      <name val="Century Gothic"/>
      <family val="2"/>
    </font>
    <font>
      <sz val="12"/>
      <color theme="1"/>
      <name val="Century Gothic"/>
      <family val="2"/>
    </font>
    <font>
      <sz val="8"/>
      <name val="Calibri"/>
      <family val="2"/>
      <scheme val="minor"/>
    </font>
    <font>
      <b/>
      <sz val="10"/>
      <name val="Century Gothic"/>
      <family val="2"/>
    </font>
    <font>
      <sz val="12"/>
      <name val="Century Gothic"/>
      <family val="2"/>
    </font>
    <font>
      <sz val="10"/>
      <color theme="1"/>
      <name val="Calibri"/>
      <family val="2"/>
      <scheme val="minor"/>
    </font>
    <font>
      <sz val="12"/>
      <color theme="1"/>
      <name val="Calibri"/>
      <family val="2"/>
      <scheme val="minor"/>
    </font>
    <font>
      <b/>
      <i/>
      <sz val="14"/>
      <name val="Century Gothic"/>
      <family val="2"/>
    </font>
    <font>
      <b/>
      <sz val="12"/>
      <name val="Century Gothic"/>
      <family val="2"/>
    </font>
    <font>
      <b/>
      <sz val="9"/>
      <name val="Century Gothic"/>
      <family val="2"/>
    </font>
    <font>
      <b/>
      <sz val="14"/>
      <name val="Century Gothic"/>
      <family val="2"/>
    </font>
    <font>
      <b/>
      <i/>
      <sz val="12"/>
      <name val="Century Gothic"/>
      <family val="2"/>
    </font>
    <font>
      <b/>
      <strike/>
      <sz val="11"/>
      <name val="Century Gothic"/>
      <family val="2"/>
    </font>
    <font>
      <strike/>
      <sz val="14"/>
      <name val="Century Gothic"/>
      <family val="2"/>
    </font>
    <font>
      <strike/>
      <sz val="10"/>
      <name val="Century Gothic"/>
      <family val="2"/>
    </font>
    <font>
      <strike/>
      <sz val="11"/>
      <name val="Century Gothic"/>
      <family val="2"/>
    </font>
    <font>
      <b/>
      <sz val="8"/>
      <name val="Century Gothic"/>
      <family val="2"/>
    </font>
    <font>
      <sz val="8"/>
      <name val="Century Gothic"/>
      <family val="2"/>
    </font>
    <font>
      <strike/>
      <sz val="8"/>
      <name val="Century Gothic"/>
      <family val="2"/>
    </font>
    <font>
      <b/>
      <sz val="11"/>
      <color theme="0"/>
      <name val="Century Gothic"/>
      <family val="2"/>
    </font>
    <font>
      <sz val="14"/>
      <color theme="0"/>
      <name val="Century Gothic"/>
      <family val="2"/>
    </font>
    <font>
      <sz val="10"/>
      <color theme="0"/>
      <name val="Century Gothic"/>
      <family val="2"/>
    </font>
    <font>
      <b/>
      <sz val="10"/>
      <color theme="0"/>
      <name val="Century Gothic"/>
      <family val="2"/>
    </font>
    <font>
      <sz val="11"/>
      <color theme="0"/>
      <name val="Century Gothic"/>
      <family val="2"/>
    </font>
    <font>
      <sz val="12"/>
      <color rgb="FF0070C0"/>
      <name val="Century Gothic"/>
      <family val="2"/>
    </font>
    <font>
      <sz val="10"/>
      <color rgb="FF0070C0"/>
      <name val="Century Gothic"/>
      <family val="2"/>
    </font>
    <font>
      <sz val="8"/>
      <color rgb="FF0070C0"/>
      <name val="Century Gothic"/>
      <family val="2"/>
    </font>
    <font>
      <b/>
      <sz val="10"/>
      <color rgb="FF0070C0"/>
      <name val="Century Gothic"/>
      <family val="2"/>
    </font>
    <font>
      <sz val="11"/>
      <color rgb="FF0070C0"/>
      <name val="Century Gothic"/>
      <family val="2"/>
    </font>
    <font>
      <b/>
      <sz val="11"/>
      <color rgb="FF0070C0"/>
      <name val="Century Gothic"/>
      <family val="2"/>
    </font>
    <font>
      <sz val="12"/>
      <color theme="9" tint="-0.249977111117893"/>
      <name val="Century Gothic"/>
      <family val="2"/>
    </font>
    <font>
      <sz val="10"/>
      <color theme="9" tint="-0.249977111117893"/>
      <name val="Century Gothic"/>
      <family val="2"/>
    </font>
    <font>
      <sz val="8"/>
      <color theme="9" tint="-0.249977111117893"/>
      <name val="Century Gothic"/>
      <family val="2"/>
    </font>
    <font>
      <b/>
      <sz val="10"/>
      <color theme="9" tint="-0.249977111117893"/>
      <name val="Century Gothic"/>
      <family val="2"/>
    </font>
    <font>
      <sz val="11"/>
      <color theme="9" tint="-0.249977111117893"/>
      <name val="Century Gothic"/>
      <family val="2"/>
    </font>
    <font>
      <b/>
      <sz val="11"/>
      <color theme="9" tint="-0.249977111117893"/>
      <name val="Century Gothic"/>
      <family val="2"/>
    </font>
    <font>
      <b/>
      <sz val="11"/>
      <color theme="8"/>
      <name val="Century Gothic"/>
      <family val="2"/>
    </font>
    <font>
      <sz val="12"/>
      <color theme="8"/>
      <name val="Century Gothic"/>
      <family val="2"/>
    </font>
    <font>
      <sz val="10"/>
      <color theme="8"/>
      <name val="Century Gothic"/>
      <family val="2"/>
    </font>
    <font>
      <sz val="8"/>
      <color theme="8"/>
      <name val="Century Gothic"/>
      <family val="2"/>
    </font>
    <font>
      <b/>
      <sz val="10"/>
      <color theme="8"/>
      <name val="Century Gothic"/>
      <family val="2"/>
    </font>
    <font>
      <sz val="11"/>
      <color theme="8"/>
      <name val="Century Gothic"/>
      <family val="2"/>
    </font>
    <font>
      <b/>
      <sz val="11"/>
      <color theme="9"/>
      <name val="Century Gothic"/>
      <family val="2"/>
    </font>
    <font>
      <sz val="12"/>
      <color theme="9"/>
      <name val="Century Gothic"/>
      <family val="2"/>
    </font>
    <font>
      <sz val="10"/>
      <color theme="9"/>
      <name val="Century Gothic"/>
      <family val="2"/>
    </font>
    <font>
      <sz val="8"/>
      <color theme="9"/>
      <name val="Century Gothic"/>
      <family val="2"/>
    </font>
    <font>
      <b/>
      <sz val="10"/>
      <color theme="9"/>
      <name val="Century Gothic"/>
      <family val="2"/>
    </font>
    <font>
      <sz val="11"/>
      <color theme="9"/>
      <name val="Century Gothic"/>
      <family val="2"/>
    </font>
    <font>
      <b/>
      <sz val="10"/>
      <color rgb="FF00B050"/>
      <name val="Calibri"/>
      <family val="2"/>
      <scheme val="minor"/>
    </font>
    <font>
      <b/>
      <sz val="10"/>
      <name val="Calibri"/>
      <family val="2"/>
      <scheme val="minor"/>
    </font>
    <font>
      <sz val="8"/>
      <color theme="0"/>
      <name val="Century Gothic"/>
      <family val="2"/>
    </font>
  </fonts>
  <fills count="13">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2">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393">
    <xf numFmtId="0" fontId="0" fillId="0" borderId="0" xfId="0"/>
    <xf numFmtId="0" fontId="6" fillId="3" borderId="1" xfId="0" applyFont="1" applyFill="1" applyBorder="1" applyAlignment="1">
      <alignment vertical="center" wrapText="1"/>
    </xf>
    <xf numFmtId="164" fontId="6" fillId="3" borderId="1" xfId="1" applyNumberFormat="1" applyFont="1" applyFill="1" applyBorder="1" applyAlignment="1">
      <alignment vertical="center" wrapText="1"/>
    </xf>
    <xf numFmtId="164" fontId="6" fillId="11" borderId="1" xfId="1" applyNumberFormat="1" applyFont="1" applyFill="1" applyBorder="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7" fillId="3" borderId="0" xfId="0" applyFont="1" applyFill="1" applyAlignment="1">
      <alignment vertical="center"/>
    </xf>
    <xf numFmtId="0" fontId="0" fillId="0" borderId="0" xfId="0" applyAlignment="1">
      <alignment wrapText="1"/>
    </xf>
    <xf numFmtId="0" fontId="0" fillId="3" borderId="0" xfId="0" applyFill="1"/>
    <xf numFmtId="164" fontId="11" fillId="3" borderId="1" xfId="1" applyNumberFormat="1" applyFont="1" applyFill="1" applyBorder="1" applyAlignment="1">
      <alignment vertical="center" wrapText="1"/>
    </xf>
    <xf numFmtId="0" fontId="4" fillId="0" borderId="0" xfId="0" applyFont="1" applyAlignment="1">
      <alignment vertical="center" wrapText="1"/>
    </xf>
    <xf numFmtId="0" fontId="4" fillId="9" borderId="1" xfId="0" applyFont="1" applyFill="1" applyBorder="1" applyAlignment="1">
      <alignment vertical="center"/>
    </xf>
    <xf numFmtId="165" fontId="7" fillId="3" borderId="1" xfId="0" applyNumberFormat="1"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7" fillId="3" borderId="1" xfId="0" applyFont="1" applyFill="1" applyBorder="1" applyAlignment="1">
      <alignment vertical="center"/>
    </xf>
    <xf numFmtId="164" fontId="6" fillId="11" borderId="0" xfId="1" applyNumberFormat="1" applyFont="1" applyFill="1" applyAlignment="1">
      <alignment vertical="center"/>
    </xf>
    <xf numFmtId="164" fontId="11" fillId="8" borderId="1" xfId="1" applyNumberFormat="1" applyFont="1" applyFill="1" applyBorder="1" applyAlignment="1">
      <alignment vertical="center" wrapText="1"/>
    </xf>
    <xf numFmtId="164" fontId="11" fillId="0" borderId="0" xfId="1" applyNumberFormat="1" applyFont="1" applyAlignment="1">
      <alignment vertical="center"/>
    </xf>
    <xf numFmtId="0" fontId="11" fillId="8" borderId="0" xfId="0" applyFont="1" applyFill="1" applyAlignment="1">
      <alignment vertical="center"/>
    </xf>
    <xf numFmtId="0" fontId="6" fillId="10" borderId="1" xfId="0" applyFont="1" applyFill="1" applyBorder="1" applyAlignment="1">
      <alignment vertical="center" wrapText="1"/>
    </xf>
    <xf numFmtId="164" fontId="6" fillId="10" borderId="1" xfId="1" applyNumberFormat="1" applyFont="1" applyFill="1" applyBorder="1" applyAlignment="1">
      <alignment vertical="center" wrapText="1"/>
    </xf>
    <xf numFmtId="0" fontId="7" fillId="10" borderId="0" xfId="0" applyFont="1" applyFill="1" applyAlignment="1">
      <alignment vertical="center"/>
    </xf>
    <xf numFmtId="1" fontId="6" fillId="10" borderId="1" xfId="0" applyNumberFormat="1" applyFont="1" applyFill="1" applyBorder="1" applyAlignment="1">
      <alignment vertical="center" wrapText="1"/>
    </xf>
    <xf numFmtId="0" fontId="6" fillId="0" borderId="0" xfId="0" applyFont="1" applyAlignment="1">
      <alignment vertical="center"/>
    </xf>
    <xf numFmtId="0" fontId="11" fillId="0" borderId="0" xfId="0" applyFont="1" applyAlignment="1">
      <alignment vertical="center"/>
    </xf>
    <xf numFmtId="0" fontId="6" fillId="0" borderId="1" xfId="0" applyFont="1" applyBorder="1" applyAlignment="1">
      <alignment vertical="center" wrapText="1"/>
    </xf>
    <xf numFmtId="164" fontId="6" fillId="0" borderId="1" xfId="1" applyNumberFormat="1" applyFont="1" applyBorder="1" applyAlignment="1">
      <alignment vertical="center" wrapText="1"/>
    </xf>
    <xf numFmtId="164" fontId="6" fillId="0" borderId="1" xfId="1" applyNumberFormat="1" applyFont="1" applyFill="1" applyBorder="1" applyAlignment="1">
      <alignment vertical="center" wrapText="1"/>
    </xf>
    <xf numFmtId="164" fontId="11" fillId="5" borderId="1" xfId="1" applyNumberFormat="1" applyFont="1" applyFill="1" applyBorder="1" applyAlignment="1">
      <alignment vertical="center"/>
    </xf>
    <xf numFmtId="164" fontId="11" fillId="6" borderId="1" xfId="1" applyNumberFormat="1" applyFont="1" applyFill="1" applyBorder="1" applyAlignment="1">
      <alignment vertical="center"/>
    </xf>
    <xf numFmtId="164" fontId="11" fillId="7" borderId="1" xfId="1" applyNumberFormat="1" applyFont="1" applyFill="1" applyBorder="1" applyAlignment="1">
      <alignment vertical="center"/>
    </xf>
    <xf numFmtId="165" fontId="11" fillId="7" borderId="1" xfId="0" applyNumberFormat="1" applyFont="1" applyFill="1" applyBorder="1" applyAlignment="1">
      <alignment vertical="center"/>
    </xf>
    <xf numFmtId="14" fontId="7" fillId="3" borderId="1" xfId="0" applyNumberFormat="1" applyFont="1" applyFill="1" applyBorder="1" applyAlignment="1">
      <alignment vertical="center" wrapText="1"/>
    </xf>
    <xf numFmtId="14" fontId="7" fillId="0" borderId="1" xfId="0" applyNumberFormat="1" applyFont="1" applyBorder="1" applyAlignment="1">
      <alignment vertical="center" wrapText="1"/>
    </xf>
    <xf numFmtId="14" fontId="7" fillId="10" borderId="1" xfId="0" applyNumberFormat="1" applyFont="1" applyFill="1" applyBorder="1" applyAlignment="1">
      <alignment vertical="center" wrapText="1"/>
    </xf>
    <xf numFmtId="0" fontId="12" fillId="3" borderId="1" xfId="0" applyFont="1" applyFill="1" applyBorder="1" applyAlignment="1">
      <alignment horizontal="left" vertical="center" wrapText="1"/>
    </xf>
    <xf numFmtId="0" fontId="12" fillId="0" borderId="1" xfId="0" applyFont="1" applyBorder="1" applyAlignment="1">
      <alignment horizontal="left" vertical="center" wrapText="1"/>
    </xf>
    <xf numFmtId="164" fontId="2" fillId="3" borderId="1" xfId="1" applyNumberFormat="1" applyFont="1" applyFill="1" applyBorder="1" applyAlignment="1">
      <alignment vertical="center"/>
    </xf>
    <xf numFmtId="165" fontId="9" fillId="3" borderId="1" xfId="0" applyNumberFormat="1" applyFont="1" applyFill="1" applyBorder="1" applyAlignment="1">
      <alignment vertical="center"/>
    </xf>
    <xf numFmtId="165" fontId="2" fillId="3" borderId="1" xfId="0" applyNumberFormat="1" applyFont="1" applyFill="1" applyBorder="1" applyAlignment="1">
      <alignment horizontal="left" vertical="center" wrapText="1"/>
    </xf>
    <xf numFmtId="165" fontId="3" fillId="5" borderId="9" xfId="0" applyNumberFormat="1" applyFont="1" applyFill="1" applyBorder="1" applyAlignment="1">
      <alignment horizontal="left" vertical="center" wrapText="1"/>
    </xf>
    <xf numFmtId="164" fontId="3" fillId="5" borderId="9" xfId="1" applyNumberFormat="1" applyFont="1" applyFill="1" applyBorder="1" applyAlignment="1">
      <alignment vertical="center"/>
    </xf>
    <xf numFmtId="164" fontId="3" fillId="5" borderId="10" xfId="1" applyNumberFormat="1" applyFont="1" applyFill="1" applyBorder="1" applyAlignment="1">
      <alignment vertical="center"/>
    </xf>
    <xf numFmtId="165" fontId="2" fillId="3" borderId="3" xfId="0" applyNumberFormat="1" applyFont="1" applyFill="1" applyBorder="1" applyAlignment="1">
      <alignment horizontal="left" vertical="center" wrapText="1"/>
    </xf>
    <xf numFmtId="164" fontId="2" fillId="3" borderId="3" xfId="1" applyNumberFormat="1" applyFont="1" applyFill="1" applyBorder="1" applyAlignment="1">
      <alignment vertical="center"/>
    </xf>
    <xf numFmtId="165" fontId="3" fillId="6" borderId="9" xfId="0" applyNumberFormat="1" applyFont="1" applyFill="1" applyBorder="1" applyAlignment="1">
      <alignment horizontal="left" vertical="center" wrapText="1"/>
    </xf>
    <xf numFmtId="164" fontId="3" fillId="6" borderId="9" xfId="1" applyNumberFormat="1" applyFont="1" applyFill="1" applyBorder="1" applyAlignment="1">
      <alignment vertical="center"/>
    </xf>
    <xf numFmtId="165" fontId="9" fillId="3" borderId="4" xfId="0" applyNumberFormat="1" applyFont="1" applyFill="1" applyBorder="1" applyAlignment="1">
      <alignment vertical="center"/>
    </xf>
    <xf numFmtId="165" fontId="2" fillId="3" borderId="4" xfId="0" applyNumberFormat="1" applyFont="1" applyFill="1" applyBorder="1" applyAlignment="1">
      <alignment horizontal="left" vertical="center" wrapText="1"/>
    </xf>
    <xf numFmtId="164" fontId="2" fillId="3" borderId="4" xfId="1" applyNumberFormat="1" applyFont="1" applyFill="1" applyBorder="1" applyAlignment="1">
      <alignment vertical="center"/>
    </xf>
    <xf numFmtId="164" fontId="3" fillId="6" borderId="10" xfId="1" applyNumberFormat="1" applyFont="1" applyFill="1" applyBorder="1" applyAlignment="1">
      <alignment vertical="center"/>
    </xf>
    <xf numFmtId="165" fontId="3" fillId="3" borderId="7" xfId="0" applyNumberFormat="1" applyFont="1" applyFill="1" applyBorder="1" applyAlignment="1">
      <alignment horizontal="left" vertical="center" wrapText="1"/>
    </xf>
    <xf numFmtId="164" fontId="3" fillId="3" borderId="7" xfId="1" applyNumberFormat="1" applyFont="1" applyFill="1" applyBorder="1" applyAlignment="1">
      <alignment vertical="center"/>
    </xf>
    <xf numFmtId="49" fontId="13" fillId="0" borderId="4" xfId="0" applyNumberFormat="1" applyFont="1" applyBorder="1" applyAlignment="1">
      <alignment horizontal="center"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xf>
    <xf numFmtId="49" fontId="14" fillId="0" borderId="4" xfId="0" applyNumberFormat="1" applyFont="1" applyBorder="1" applyAlignment="1">
      <alignment horizontal="left" vertical="center" wrapText="1"/>
    </xf>
    <xf numFmtId="165" fontId="8" fillId="5" borderId="8" xfId="0" applyNumberFormat="1" applyFont="1" applyFill="1" applyBorder="1" applyAlignment="1">
      <alignment vertical="center"/>
    </xf>
    <xf numFmtId="165" fontId="8" fillId="5" borderId="9" xfId="0" applyNumberFormat="1" applyFont="1" applyFill="1" applyBorder="1" applyAlignment="1">
      <alignment horizontal="left" vertical="center" wrapText="1"/>
    </xf>
    <xf numFmtId="165" fontId="8" fillId="6" borderId="9" xfId="0" applyNumberFormat="1" applyFont="1" applyFill="1" applyBorder="1" applyAlignment="1">
      <alignment vertical="center"/>
    </xf>
    <xf numFmtId="165" fontId="8" fillId="6" borderId="9" xfId="0" applyNumberFormat="1" applyFont="1" applyFill="1" applyBorder="1" applyAlignment="1">
      <alignment horizontal="left" vertical="center" wrapText="1"/>
    </xf>
    <xf numFmtId="165" fontId="9" fillId="3" borderId="3" xfId="0" applyNumberFormat="1" applyFont="1" applyFill="1" applyBorder="1" applyAlignment="1">
      <alignment vertical="center"/>
    </xf>
    <xf numFmtId="165" fontId="9" fillId="3" borderId="3" xfId="0" applyNumberFormat="1" applyFont="1" applyFill="1" applyBorder="1" applyAlignment="1">
      <alignment horizontal="left" vertical="center" wrapText="1"/>
    </xf>
    <xf numFmtId="165" fontId="9" fillId="3" borderId="1" xfId="0" applyNumberFormat="1" applyFont="1" applyFill="1" applyBorder="1" applyAlignment="1">
      <alignment horizontal="left" vertical="center" wrapText="1"/>
    </xf>
    <xf numFmtId="165" fontId="9" fillId="3" borderId="4" xfId="0" applyNumberFormat="1" applyFont="1" applyFill="1" applyBorder="1" applyAlignment="1">
      <alignment horizontal="left" vertical="center" wrapText="1"/>
    </xf>
    <xf numFmtId="165" fontId="8" fillId="6" borderId="8" xfId="0" applyNumberFormat="1" applyFont="1" applyFill="1" applyBorder="1" applyAlignment="1">
      <alignment vertical="center"/>
    </xf>
    <xf numFmtId="165" fontId="8" fillId="3" borderId="7" xfId="0" applyNumberFormat="1" applyFont="1" applyFill="1" applyBorder="1" applyAlignment="1">
      <alignment vertical="center"/>
    </xf>
    <xf numFmtId="165" fontId="8" fillId="3" borderId="7" xfId="0" applyNumberFormat="1" applyFont="1" applyFill="1" applyBorder="1" applyAlignment="1">
      <alignment horizontal="left" vertical="center" wrapText="1"/>
    </xf>
    <xf numFmtId="0" fontId="4" fillId="0" borderId="0" xfId="0" applyFont="1" applyAlignment="1">
      <alignment vertical="center"/>
    </xf>
    <xf numFmtId="41" fontId="6" fillId="0" borderId="1" xfId="2" applyFont="1" applyFill="1" applyBorder="1" applyAlignment="1">
      <alignment vertical="center" wrapText="1"/>
    </xf>
    <xf numFmtId="164" fontId="11" fillId="0" borderId="1" xfId="1" applyNumberFormat="1" applyFont="1" applyFill="1" applyBorder="1" applyAlignment="1">
      <alignment vertical="center" wrapText="1"/>
    </xf>
    <xf numFmtId="1" fontId="6" fillId="0" borderId="1" xfId="0" applyNumberFormat="1" applyFont="1" applyBorder="1" applyAlignment="1">
      <alignment vertical="center" wrapText="1"/>
    </xf>
    <xf numFmtId="165" fontId="0" fillId="0" borderId="0" xfId="0" applyNumberFormat="1" applyAlignment="1">
      <alignment wrapText="1"/>
    </xf>
    <xf numFmtId="164" fontId="0" fillId="3" borderId="0" xfId="0" applyNumberFormat="1" applyFill="1"/>
    <xf numFmtId="0" fontId="7" fillId="0" borderId="6" xfId="0" applyFont="1" applyBorder="1" applyAlignment="1">
      <alignment vertical="center" wrapText="1"/>
    </xf>
    <xf numFmtId="0" fontId="11" fillId="8" borderId="1" xfId="0" applyFont="1" applyFill="1" applyBorder="1" applyAlignment="1">
      <alignment horizontal="center" vertical="center" wrapText="1"/>
    </xf>
    <xf numFmtId="165" fontId="11" fillId="8" borderId="1" xfId="0" applyNumberFormat="1" applyFont="1" applyFill="1" applyBorder="1" applyAlignment="1">
      <alignment vertical="center"/>
    </xf>
    <xf numFmtId="0" fontId="4" fillId="0" borderId="1" xfId="0" applyFont="1" applyBorder="1" applyAlignment="1">
      <alignment vertical="center"/>
    </xf>
    <xf numFmtId="165" fontId="7" fillId="0" borderId="1" xfId="0" applyNumberFormat="1" applyFont="1" applyBorder="1" applyAlignment="1">
      <alignment vertical="center"/>
    </xf>
    <xf numFmtId="0" fontId="4" fillId="0" borderId="1" xfId="0" applyFont="1" applyBorder="1" applyAlignment="1">
      <alignment vertical="center" wrapText="1"/>
    </xf>
    <xf numFmtId="0" fontId="4" fillId="3" borderId="1" xfId="0" applyFont="1" applyFill="1" applyBorder="1" applyAlignment="1">
      <alignment vertical="center"/>
    </xf>
    <xf numFmtId="0" fontId="5" fillId="3" borderId="1" xfId="0" applyFont="1" applyFill="1" applyBorder="1" applyAlignment="1">
      <alignment horizontal="left" vertical="center" wrapText="1"/>
    </xf>
    <xf numFmtId="164" fontId="6" fillId="11" borderId="1" xfId="1" applyNumberFormat="1" applyFont="1" applyFill="1" applyBorder="1" applyAlignment="1">
      <alignment vertical="center"/>
    </xf>
    <xf numFmtId="0" fontId="11" fillId="8" borderId="1" xfId="0" applyFont="1" applyFill="1" applyBorder="1" applyAlignment="1">
      <alignment vertical="center"/>
    </xf>
    <xf numFmtId="0" fontId="11" fillId="0" borderId="1" xfId="0" applyFont="1" applyBorder="1" applyAlignment="1">
      <alignment vertical="center" wrapText="1"/>
    </xf>
    <xf numFmtId="41" fontId="4" fillId="0" borderId="1" xfId="2" applyFont="1" applyFill="1" applyBorder="1" applyAlignment="1">
      <alignment vertical="center"/>
    </xf>
    <xf numFmtId="0" fontId="6" fillId="0" borderId="1" xfId="0" applyFont="1" applyBorder="1" applyAlignment="1">
      <alignment vertical="center"/>
    </xf>
    <xf numFmtId="0" fontId="11" fillId="0" borderId="1" xfId="0" applyFont="1" applyBorder="1" applyAlignment="1">
      <alignment vertical="center"/>
    </xf>
    <xf numFmtId="0" fontId="11" fillId="8" borderId="6" xfId="0" applyFont="1" applyFill="1" applyBorder="1" applyAlignment="1">
      <alignment horizontal="center" vertical="center"/>
    </xf>
    <xf numFmtId="41" fontId="6" fillId="3" borderId="1" xfId="2" applyFont="1" applyFill="1" applyBorder="1" applyAlignment="1">
      <alignment vertical="center" wrapText="1"/>
    </xf>
    <xf numFmtId="14" fontId="7" fillId="0" borderId="1" xfId="0" applyNumberFormat="1" applyFont="1" applyBorder="1" applyAlignment="1">
      <alignment horizontal="right" vertical="center" wrapText="1"/>
    </xf>
    <xf numFmtId="0" fontId="15" fillId="8" borderId="1" xfId="0" applyFont="1" applyFill="1" applyBorder="1" applyAlignment="1">
      <alignment horizontal="center" vertical="center"/>
    </xf>
    <xf numFmtId="0" fontId="6" fillId="8" borderId="0" xfId="0" applyFont="1" applyFill="1" applyAlignment="1">
      <alignment vertical="center"/>
    </xf>
    <xf numFmtId="164" fontId="5" fillId="0" borderId="1" xfId="0" applyNumberFormat="1" applyFont="1" applyBorder="1" applyAlignment="1">
      <alignment vertical="center"/>
    </xf>
    <xf numFmtId="0" fontId="5" fillId="0" borderId="1" xfId="0" applyFont="1" applyBorder="1" applyAlignment="1">
      <alignment vertical="center"/>
    </xf>
    <xf numFmtId="164" fontId="15" fillId="8" borderId="1" xfId="0" applyNumberFormat="1" applyFont="1" applyFill="1" applyBorder="1" applyAlignment="1">
      <alignment horizontal="left" vertical="center"/>
    </xf>
    <xf numFmtId="0" fontId="6" fillId="8" borderId="2" xfId="0" applyFont="1" applyFill="1" applyBorder="1" applyAlignment="1">
      <alignment vertical="center"/>
    </xf>
    <xf numFmtId="0" fontId="16" fillId="8" borderId="2" xfId="0" applyFont="1" applyFill="1" applyBorder="1" applyAlignment="1">
      <alignment horizontal="center" vertical="center"/>
    </xf>
    <xf numFmtId="0" fontId="16" fillId="11" borderId="12" xfId="0" applyFont="1" applyFill="1" applyBorder="1" applyAlignment="1">
      <alignment horizontal="center" vertical="center"/>
    </xf>
    <xf numFmtId="0" fontId="16" fillId="11" borderId="2" xfId="0" applyFont="1" applyFill="1" applyBorder="1" applyAlignment="1">
      <alignment horizontal="center" vertical="center"/>
    </xf>
    <xf numFmtId="0" fontId="16" fillId="11" borderId="11" xfId="0" applyFont="1" applyFill="1" applyBorder="1" applyAlignment="1">
      <alignment horizontal="center" vertical="center"/>
    </xf>
    <xf numFmtId="49" fontId="18" fillId="10" borderId="3" xfId="0" applyNumberFormat="1" applyFont="1" applyFill="1" applyBorder="1" applyAlignment="1">
      <alignment horizontal="left" vertical="center"/>
    </xf>
    <xf numFmtId="49" fontId="11" fillId="3" borderId="3" xfId="0" applyNumberFormat="1" applyFont="1" applyFill="1" applyBorder="1" applyAlignment="1">
      <alignment horizontal="left" vertical="center" wrapText="1"/>
    </xf>
    <xf numFmtId="164" fontId="11" fillId="3" borderId="3" xfId="1" applyNumberFormat="1" applyFont="1" applyFill="1" applyBorder="1" applyAlignment="1">
      <alignment horizontal="left" vertical="center" wrapText="1"/>
    </xf>
    <xf numFmtId="164" fontId="11" fillId="3" borderId="3" xfId="1" applyNumberFormat="1" applyFont="1" applyFill="1" applyBorder="1" applyAlignment="1">
      <alignment horizontal="center" vertical="center" wrapText="1"/>
    </xf>
    <xf numFmtId="49" fontId="11" fillId="3" borderId="3" xfId="0" applyNumberFormat="1" applyFont="1" applyFill="1" applyBorder="1" applyAlignment="1">
      <alignment horizontal="center" vertical="center" wrapText="1"/>
    </xf>
    <xf numFmtId="0" fontId="17" fillId="3" borderId="3" xfId="0" applyFont="1" applyFill="1" applyBorder="1" applyAlignment="1">
      <alignment horizontal="center" vertical="center" wrapText="1"/>
    </xf>
    <xf numFmtId="164" fontId="11" fillId="11" borderId="3" xfId="1" applyNumberFormat="1" applyFont="1" applyFill="1" applyBorder="1" applyAlignment="1">
      <alignment horizontal="center" vertical="center" wrapText="1"/>
    </xf>
    <xf numFmtId="0" fontId="11" fillId="3" borderId="1" xfId="0" applyFont="1" applyFill="1" applyBorder="1" applyAlignment="1">
      <alignment vertical="center" wrapText="1"/>
    </xf>
    <xf numFmtId="0" fontId="4" fillId="4" borderId="1" xfId="0" applyFont="1" applyFill="1" applyBorder="1" applyAlignment="1">
      <alignment vertical="center"/>
    </xf>
    <xf numFmtId="49" fontId="18" fillId="4" borderId="1" xfId="0" applyNumberFormat="1" applyFont="1" applyFill="1" applyBorder="1" applyAlignment="1">
      <alignment horizontal="left" vertical="center"/>
    </xf>
    <xf numFmtId="49" fontId="11" fillId="4" borderId="1" xfId="0" applyNumberFormat="1" applyFont="1" applyFill="1" applyBorder="1" applyAlignment="1">
      <alignment horizontal="left" vertical="center"/>
    </xf>
    <xf numFmtId="0" fontId="11" fillId="4" borderId="1" xfId="0" applyFont="1" applyFill="1" applyBorder="1" applyAlignment="1">
      <alignment horizontal="center" vertical="center" wrapText="1"/>
    </xf>
    <xf numFmtId="164" fontId="11" fillId="11" borderId="1" xfId="1" applyNumberFormat="1" applyFont="1" applyFill="1" applyBorder="1" applyAlignment="1">
      <alignment vertical="center"/>
    </xf>
    <xf numFmtId="164" fontId="11" fillId="4" borderId="1" xfId="1" applyNumberFormat="1" applyFont="1" applyFill="1" applyBorder="1" applyAlignment="1">
      <alignment horizontal="center" vertical="center" wrapText="1"/>
    </xf>
    <xf numFmtId="0" fontId="11" fillId="4" borderId="1" xfId="0" applyFont="1" applyFill="1" applyBorder="1" applyAlignment="1">
      <alignment horizontal="left" vertical="center"/>
    </xf>
    <xf numFmtId="0" fontId="18"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0" xfId="0" applyFont="1" applyFill="1" applyAlignment="1">
      <alignment vertical="center"/>
    </xf>
    <xf numFmtId="0" fontId="5" fillId="0" borderId="1" xfId="0" applyFont="1" applyBorder="1" applyAlignment="1">
      <alignment horizontal="left" vertical="center"/>
    </xf>
    <xf numFmtId="165" fontId="6" fillId="0" borderId="1" xfId="1" applyNumberFormat="1" applyFont="1" applyFill="1" applyBorder="1" applyAlignment="1">
      <alignment vertical="center"/>
    </xf>
    <xf numFmtId="164" fontId="6" fillId="0" borderId="1" xfId="1" applyNumberFormat="1" applyFont="1" applyFill="1" applyBorder="1" applyAlignment="1">
      <alignment vertical="center"/>
    </xf>
    <xf numFmtId="165" fontId="6" fillId="0" borderId="1" xfId="0" applyNumberFormat="1" applyFont="1" applyBorder="1" applyAlignment="1">
      <alignment vertical="center"/>
    </xf>
    <xf numFmtId="165" fontId="5" fillId="0" borderId="1" xfId="0" applyNumberFormat="1" applyFont="1" applyBorder="1" applyAlignment="1">
      <alignment vertical="center"/>
    </xf>
    <xf numFmtId="165" fontId="4" fillId="5" borderId="1" xfId="0" applyNumberFormat="1" applyFont="1" applyFill="1" applyBorder="1" applyAlignment="1">
      <alignment vertical="center"/>
    </xf>
    <xf numFmtId="165" fontId="18" fillId="5" borderId="1" xfId="0" applyNumberFormat="1" applyFont="1" applyFill="1" applyBorder="1" applyAlignment="1">
      <alignment horizontal="left" vertical="center"/>
    </xf>
    <xf numFmtId="165" fontId="11" fillId="5" borderId="1" xfId="0" applyNumberFormat="1" applyFont="1" applyFill="1" applyBorder="1" applyAlignment="1">
      <alignment vertical="center"/>
    </xf>
    <xf numFmtId="165" fontId="6" fillId="5" borderId="1" xfId="0" applyNumberFormat="1" applyFont="1" applyFill="1" applyBorder="1" applyAlignment="1">
      <alignment vertical="center"/>
    </xf>
    <xf numFmtId="164" fontId="6" fillId="5" borderId="1" xfId="1" applyNumberFormat="1" applyFont="1" applyFill="1" applyBorder="1" applyAlignment="1">
      <alignment vertical="center"/>
    </xf>
    <xf numFmtId="0" fontId="11" fillId="5" borderId="1" xfId="0" applyFont="1" applyFill="1" applyBorder="1" applyAlignment="1">
      <alignment vertical="center"/>
    </xf>
    <xf numFmtId="41" fontId="11" fillId="5" borderId="1" xfId="2" applyFont="1" applyFill="1" applyBorder="1" applyAlignment="1">
      <alignment vertical="center"/>
    </xf>
    <xf numFmtId="41" fontId="18" fillId="5" borderId="1" xfId="2" applyFont="1" applyFill="1" applyBorder="1" applyAlignment="1">
      <alignment vertical="center"/>
    </xf>
    <xf numFmtId="9" fontId="18" fillId="5" borderId="1" xfId="3" applyFont="1" applyFill="1" applyBorder="1" applyAlignment="1">
      <alignment vertical="center"/>
    </xf>
    <xf numFmtId="41" fontId="4" fillId="5" borderId="1" xfId="2" applyFont="1" applyFill="1" applyBorder="1" applyAlignment="1">
      <alignment vertical="center"/>
    </xf>
    <xf numFmtId="165" fontId="4" fillId="6" borderId="1" xfId="0" applyNumberFormat="1" applyFont="1" applyFill="1" applyBorder="1" applyAlignment="1">
      <alignment vertical="center"/>
    </xf>
    <xf numFmtId="165" fontId="18" fillId="6" borderId="1" xfId="0" applyNumberFormat="1" applyFont="1" applyFill="1" applyBorder="1" applyAlignment="1">
      <alignment horizontal="left" vertical="center" wrapText="1"/>
    </xf>
    <xf numFmtId="165" fontId="11" fillId="6" borderId="1" xfId="0" applyNumberFormat="1" applyFont="1" applyFill="1" applyBorder="1" applyAlignment="1">
      <alignment vertical="center"/>
    </xf>
    <xf numFmtId="165" fontId="6" fillId="6" borderId="1" xfId="0" applyNumberFormat="1" applyFont="1" applyFill="1" applyBorder="1" applyAlignment="1">
      <alignment vertical="center"/>
    </xf>
    <xf numFmtId="164" fontId="6" fillId="6" borderId="1" xfId="1" applyNumberFormat="1" applyFont="1" applyFill="1" applyBorder="1" applyAlignment="1">
      <alignment vertical="center"/>
    </xf>
    <xf numFmtId="0" fontId="11" fillId="6" borderId="1" xfId="1" applyNumberFormat="1" applyFont="1" applyFill="1" applyBorder="1" applyAlignment="1">
      <alignment vertical="center"/>
    </xf>
    <xf numFmtId="165" fontId="5" fillId="6" borderId="1" xfId="0" applyNumberFormat="1" applyFont="1" applyFill="1" applyBorder="1" applyAlignment="1">
      <alignment vertical="center"/>
    </xf>
    <xf numFmtId="165" fontId="7" fillId="6" borderId="1" xfId="0" applyNumberFormat="1" applyFont="1" applyFill="1" applyBorder="1" applyAlignment="1">
      <alignment vertical="center"/>
    </xf>
    <xf numFmtId="165" fontId="7" fillId="6" borderId="0" xfId="0" applyNumberFormat="1" applyFont="1" applyFill="1" applyAlignment="1">
      <alignment vertical="center"/>
    </xf>
    <xf numFmtId="165" fontId="4" fillId="7" borderId="1" xfId="0" applyNumberFormat="1" applyFont="1" applyFill="1" applyBorder="1" applyAlignment="1">
      <alignment vertical="center"/>
    </xf>
    <xf numFmtId="165" fontId="18" fillId="7" borderId="1" xfId="0" applyNumberFormat="1" applyFont="1" applyFill="1" applyBorder="1" applyAlignment="1">
      <alignment horizontal="left" vertical="center"/>
    </xf>
    <xf numFmtId="165" fontId="6" fillId="7" borderId="1" xfId="0" applyNumberFormat="1" applyFont="1" applyFill="1" applyBorder="1" applyAlignment="1">
      <alignment vertical="center"/>
    </xf>
    <xf numFmtId="164" fontId="6" fillId="7" borderId="1" xfId="1" applyNumberFormat="1" applyFont="1" applyFill="1" applyBorder="1" applyAlignment="1">
      <alignment vertical="center"/>
    </xf>
    <xf numFmtId="0" fontId="11" fillId="7" borderId="1" xfId="0" applyFont="1" applyFill="1" applyBorder="1" applyAlignment="1">
      <alignment vertical="center"/>
    </xf>
    <xf numFmtId="41" fontId="11" fillId="7" borderId="1" xfId="2" applyFont="1" applyFill="1" applyBorder="1" applyAlignment="1">
      <alignment vertical="center"/>
    </xf>
    <xf numFmtId="41" fontId="18" fillId="7" borderId="1" xfId="2" applyFont="1" applyFill="1" applyBorder="1" applyAlignment="1">
      <alignment vertical="center"/>
    </xf>
    <xf numFmtId="41" fontId="4" fillId="7" borderId="1" xfId="2" applyFont="1" applyFill="1" applyBorder="1" applyAlignment="1">
      <alignment vertical="center"/>
    </xf>
    <xf numFmtId="0" fontId="7" fillId="7" borderId="1" xfId="0" applyFont="1" applyFill="1" applyBorder="1" applyAlignment="1">
      <alignment vertical="center"/>
    </xf>
    <xf numFmtId="0" fontId="4" fillId="7" borderId="1" xfId="0" applyFont="1" applyFill="1" applyBorder="1" applyAlignment="1">
      <alignment vertical="center" wrapText="1"/>
    </xf>
    <xf numFmtId="0" fontId="7" fillId="7" borderId="0" xfId="0" applyFont="1" applyFill="1" applyAlignment="1">
      <alignment vertical="center" wrapText="1"/>
    </xf>
    <xf numFmtId="0" fontId="7" fillId="7" borderId="0" xfId="0" applyFont="1" applyFill="1" applyAlignment="1">
      <alignment vertical="center"/>
    </xf>
    <xf numFmtId="0" fontId="19" fillId="3" borderId="1" xfId="0" applyFont="1" applyFill="1" applyBorder="1" applyAlignment="1">
      <alignment horizontal="left" vertical="center" wrapText="1"/>
    </xf>
    <xf numFmtId="0" fontId="6" fillId="3" borderId="1" xfId="0" applyFont="1" applyFill="1" applyBorder="1" applyAlignment="1">
      <alignment vertical="center"/>
    </xf>
    <xf numFmtId="165" fontId="11" fillId="0" borderId="1" xfId="0" applyNumberFormat="1" applyFont="1" applyBorder="1" applyAlignment="1">
      <alignment vertical="center"/>
    </xf>
    <xf numFmtId="0" fontId="7" fillId="3" borderId="2" xfId="0" applyFont="1" applyFill="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wrapText="1"/>
    </xf>
    <xf numFmtId="0" fontId="20" fillId="9" borderId="1" xfId="0" applyFont="1" applyFill="1" applyBorder="1" applyAlignment="1">
      <alignment vertical="center"/>
    </xf>
    <xf numFmtId="0" fontId="21" fillId="3" borderId="1" xfId="0" applyFont="1" applyFill="1" applyBorder="1" applyAlignment="1">
      <alignment horizontal="left" vertical="center" wrapText="1"/>
    </xf>
    <xf numFmtId="0" fontId="22" fillId="3" borderId="1" xfId="0" applyFont="1" applyFill="1" applyBorder="1" applyAlignment="1">
      <alignment vertical="center" wrapText="1"/>
    </xf>
    <xf numFmtId="164" fontId="22" fillId="3" borderId="1" xfId="1" applyNumberFormat="1" applyFont="1" applyFill="1" applyBorder="1" applyAlignment="1">
      <alignment vertical="center" wrapText="1"/>
    </xf>
    <xf numFmtId="164" fontId="22" fillId="11" borderId="1" xfId="1" applyNumberFormat="1" applyFont="1" applyFill="1" applyBorder="1" applyAlignment="1">
      <alignment vertical="center" wrapText="1"/>
    </xf>
    <xf numFmtId="164" fontId="22" fillId="0" borderId="1" xfId="1" applyNumberFormat="1" applyFont="1" applyFill="1" applyBorder="1" applyAlignment="1">
      <alignment vertical="center" wrapText="1"/>
    </xf>
    <xf numFmtId="0" fontId="22" fillId="0" borderId="1" xfId="0" applyFont="1" applyBorder="1" applyAlignment="1">
      <alignment vertical="center" wrapText="1"/>
    </xf>
    <xf numFmtId="14" fontId="23" fillId="3" borderId="1" xfId="0" applyNumberFormat="1" applyFont="1" applyFill="1" applyBorder="1" applyAlignment="1">
      <alignment vertical="center" wrapText="1"/>
    </xf>
    <xf numFmtId="165" fontId="23" fillId="3" borderId="1" xfId="0" applyNumberFormat="1" applyFont="1" applyFill="1" applyBorder="1" applyAlignment="1">
      <alignment vertical="center"/>
    </xf>
    <xf numFmtId="0" fontId="23" fillId="0" borderId="1" xfId="0" applyFont="1" applyBorder="1" applyAlignment="1">
      <alignment vertical="center"/>
    </xf>
    <xf numFmtId="0" fontId="20" fillId="0" borderId="1" xfId="0" applyFont="1" applyBorder="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3" borderId="0" xfId="0" applyFont="1" applyFill="1" applyAlignment="1">
      <alignment vertical="center"/>
    </xf>
    <xf numFmtId="165" fontId="18" fillId="7" borderId="1" xfId="0" applyNumberFormat="1" applyFont="1" applyFill="1" applyBorder="1" applyAlignment="1">
      <alignment horizontal="left" vertical="center" wrapText="1"/>
    </xf>
    <xf numFmtId="1" fontId="6" fillId="3" borderId="1" xfId="0" applyNumberFormat="1" applyFont="1" applyFill="1" applyBorder="1" applyAlignment="1">
      <alignment vertical="center" wrapText="1"/>
    </xf>
    <xf numFmtId="0" fontId="5" fillId="0" borderId="1" xfId="0" applyFont="1" applyBorder="1" applyAlignment="1">
      <alignment horizontal="left" vertical="center" wrapText="1"/>
    </xf>
    <xf numFmtId="165" fontId="17" fillId="7" borderId="1" xfId="0" applyNumberFormat="1" applyFont="1" applyFill="1" applyBorder="1" applyAlignment="1">
      <alignment vertical="center"/>
    </xf>
    <xf numFmtId="165" fontId="24" fillId="7" borderId="1" xfId="0" applyNumberFormat="1" applyFont="1" applyFill="1" applyBorder="1" applyAlignment="1">
      <alignment vertical="center"/>
    </xf>
    <xf numFmtId="165" fontId="18" fillId="6" borderId="1" xfId="0" applyNumberFormat="1" applyFont="1" applyFill="1" applyBorder="1" applyAlignment="1">
      <alignment horizontal="left" vertical="center"/>
    </xf>
    <xf numFmtId="164" fontId="11" fillId="0" borderId="1" xfId="1" applyNumberFormat="1" applyFont="1" applyFill="1" applyBorder="1" applyAlignment="1">
      <alignment vertical="center"/>
    </xf>
    <xf numFmtId="0" fontId="11" fillId="0" borderId="1" xfId="1" applyNumberFormat="1" applyFont="1" applyFill="1" applyBorder="1" applyAlignment="1">
      <alignment vertical="center"/>
    </xf>
    <xf numFmtId="164" fontId="6" fillId="7" borderId="1" xfId="0" applyNumberFormat="1" applyFont="1" applyFill="1" applyBorder="1" applyAlignment="1">
      <alignment vertical="center"/>
    </xf>
    <xf numFmtId="0" fontId="6" fillId="7" borderId="1" xfId="0" applyFont="1" applyFill="1" applyBorder="1" applyAlignment="1">
      <alignment vertical="center"/>
    </xf>
    <xf numFmtId="164" fontId="11" fillId="0" borderId="1" xfId="1" applyNumberFormat="1" applyFont="1" applyBorder="1" applyAlignment="1">
      <alignment vertical="center"/>
    </xf>
    <xf numFmtId="164" fontId="6" fillId="0" borderId="1" xfId="1" applyNumberFormat="1" applyFont="1" applyBorder="1" applyAlignment="1">
      <alignment vertical="center"/>
    </xf>
    <xf numFmtId="43" fontId="4" fillId="9" borderId="1" xfId="1" applyFont="1" applyFill="1" applyBorder="1" applyAlignment="1">
      <alignment vertical="center"/>
    </xf>
    <xf numFmtId="0" fontId="18" fillId="0" borderId="1" xfId="0" applyFont="1" applyBorder="1" applyAlignment="1">
      <alignment vertical="center"/>
    </xf>
    <xf numFmtId="0" fontId="4" fillId="3" borderId="1" xfId="0" applyFont="1" applyFill="1" applyBorder="1" applyAlignment="1">
      <alignment vertical="center" wrapText="1"/>
    </xf>
    <xf numFmtId="0" fontId="7" fillId="3" borderId="0" xfId="0" applyFont="1" applyFill="1" applyAlignment="1">
      <alignment vertical="center" wrapText="1"/>
    </xf>
    <xf numFmtId="0" fontId="11" fillId="6" borderId="1" xfId="0" applyFont="1" applyFill="1" applyBorder="1" applyAlignment="1">
      <alignment vertical="center"/>
    </xf>
    <xf numFmtId="41" fontId="24" fillId="7" borderId="1" xfId="2" applyFont="1" applyFill="1" applyBorder="1" applyAlignment="1">
      <alignment vertical="center"/>
    </xf>
    <xf numFmtId="41" fontId="6" fillId="3" borderId="1" xfId="2" applyFont="1" applyFill="1" applyBorder="1" applyAlignment="1">
      <alignment vertical="center"/>
    </xf>
    <xf numFmtId="164" fontId="6" fillId="3" borderId="1" xfId="1" applyNumberFormat="1" applyFont="1" applyFill="1" applyBorder="1" applyAlignment="1">
      <alignment vertical="center"/>
    </xf>
    <xf numFmtId="164" fontId="11" fillId="8" borderId="1" xfId="1" applyNumberFormat="1" applyFont="1" applyFill="1" applyBorder="1" applyAlignment="1">
      <alignment vertical="center"/>
    </xf>
    <xf numFmtId="0" fontId="4" fillId="10" borderId="1" xfId="0" applyFont="1" applyFill="1" applyBorder="1" applyAlignment="1">
      <alignment vertical="center"/>
    </xf>
    <xf numFmtId="0" fontId="5" fillId="10" borderId="1" xfId="0" applyFont="1" applyFill="1" applyBorder="1" applyAlignment="1">
      <alignment horizontal="left" vertical="center" wrapText="1"/>
    </xf>
    <xf numFmtId="165" fontId="7" fillId="10" borderId="1" xfId="0" applyNumberFormat="1" applyFont="1" applyFill="1" applyBorder="1" applyAlignment="1">
      <alignment vertical="center"/>
    </xf>
    <xf numFmtId="0" fontId="6" fillId="7" borderId="0" xfId="0" applyFont="1" applyFill="1" applyAlignment="1">
      <alignment vertical="center"/>
    </xf>
    <xf numFmtId="0" fontId="5" fillId="0" borderId="0" xfId="0" applyFont="1" applyAlignment="1">
      <alignment horizontal="left" vertical="center"/>
    </xf>
    <xf numFmtId="164" fontId="6" fillId="0" borderId="0" xfId="1" applyNumberFormat="1" applyFont="1" applyAlignment="1">
      <alignment vertical="center"/>
    </xf>
    <xf numFmtId="0" fontId="5" fillId="0" borderId="0" xfId="0" applyFont="1" applyAlignment="1">
      <alignment vertical="center"/>
    </xf>
    <xf numFmtId="164" fontId="6" fillId="3" borderId="1" xfId="0" applyNumberFormat="1" applyFont="1" applyFill="1" applyBorder="1" applyAlignment="1">
      <alignment vertical="center" wrapText="1"/>
    </xf>
    <xf numFmtId="0" fontId="25" fillId="3" borderId="1" xfId="0" applyFont="1" applyFill="1" applyBorder="1" applyAlignment="1">
      <alignment vertical="center" wrapText="1"/>
    </xf>
    <xf numFmtId="0" fontId="25" fillId="0" borderId="1" xfId="0" applyFont="1" applyBorder="1" applyAlignment="1">
      <alignment vertical="center" wrapText="1"/>
    </xf>
    <xf numFmtId="9" fontId="25" fillId="0" borderId="1" xfId="3" applyFont="1" applyFill="1" applyBorder="1" applyAlignment="1">
      <alignment vertical="center" wrapText="1"/>
    </xf>
    <xf numFmtId="165" fontId="25" fillId="7" borderId="1" xfId="0" applyNumberFormat="1" applyFont="1" applyFill="1" applyBorder="1" applyAlignment="1">
      <alignment vertical="center"/>
    </xf>
    <xf numFmtId="0" fontId="26" fillId="3" borderId="1" xfId="0" applyFont="1" applyFill="1" applyBorder="1" applyAlignment="1">
      <alignment vertical="center" wrapText="1"/>
    </xf>
    <xf numFmtId="165" fontId="25" fillId="6" borderId="1" xfId="0" applyNumberFormat="1" applyFont="1" applyFill="1" applyBorder="1" applyAlignment="1">
      <alignment vertical="center"/>
    </xf>
    <xf numFmtId="0" fontId="25" fillId="0" borderId="1" xfId="0" applyFont="1" applyBorder="1" applyAlignment="1">
      <alignment vertical="center"/>
    </xf>
    <xf numFmtId="0" fontId="25" fillId="10" borderId="1" xfId="0" applyFont="1" applyFill="1" applyBorder="1" applyAlignment="1">
      <alignment vertical="center" wrapText="1"/>
    </xf>
    <xf numFmtId="0" fontId="27" fillId="3" borderId="0" xfId="0" applyFont="1" applyFill="1" applyAlignment="1">
      <alignment vertical="center"/>
    </xf>
    <xf numFmtId="0" fontId="28" fillId="3" borderId="0" xfId="0" applyFont="1" applyFill="1" applyAlignment="1">
      <alignment horizontal="left" vertical="center"/>
    </xf>
    <xf numFmtId="0" fontId="29" fillId="3" borderId="0" xfId="0" applyFont="1" applyFill="1" applyAlignment="1">
      <alignment vertical="center"/>
    </xf>
    <xf numFmtId="164" fontId="30" fillId="3" borderId="0" xfId="1" applyNumberFormat="1" applyFont="1" applyFill="1" applyAlignment="1">
      <alignment vertical="center"/>
    </xf>
    <xf numFmtId="164" fontId="29" fillId="3" borderId="0" xfId="1" applyNumberFormat="1" applyFont="1" applyFill="1" applyAlignment="1">
      <alignment vertical="center"/>
    </xf>
    <xf numFmtId="0" fontId="28" fillId="3" borderId="0" xfId="0" applyFont="1" applyFill="1" applyAlignment="1">
      <alignment vertical="center"/>
    </xf>
    <xf numFmtId="0" fontId="30" fillId="3" borderId="0" xfId="0" applyFont="1" applyFill="1" applyAlignment="1">
      <alignment vertical="center"/>
    </xf>
    <xf numFmtId="0" fontId="31" fillId="3" borderId="0" xfId="0" applyFont="1" applyFill="1" applyAlignment="1">
      <alignment vertical="center"/>
    </xf>
    <xf numFmtId="0" fontId="32" fillId="3" borderId="1" xfId="0" applyFont="1" applyFill="1" applyBorder="1" applyAlignment="1">
      <alignment horizontal="left" vertical="center" wrapText="1"/>
    </xf>
    <xf numFmtId="0" fontId="33" fillId="3" borderId="1" xfId="0" applyFont="1" applyFill="1" applyBorder="1" applyAlignment="1">
      <alignment vertical="center" wrapText="1"/>
    </xf>
    <xf numFmtId="9" fontId="34" fillId="3" borderId="1" xfId="3" applyFont="1" applyFill="1" applyBorder="1" applyAlignment="1">
      <alignment vertical="center" wrapText="1"/>
    </xf>
    <xf numFmtId="164" fontId="35" fillId="3" borderId="1" xfId="1" applyNumberFormat="1" applyFont="1" applyFill="1" applyBorder="1" applyAlignment="1">
      <alignment vertical="center" wrapText="1"/>
    </xf>
    <xf numFmtId="164" fontId="33" fillId="3" borderId="1" xfId="1" applyNumberFormat="1" applyFont="1" applyFill="1" applyBorder="1" applyAlignment="1">
      <alignment vertical="center" wrapText="1"/>
    </xf>
    <xf numFmtId="0" fontId="36" fillId="3" borderId="1" xfId="0" applyFont="1" applyFill="1" applyBorder="1" applyAlignment="1">
      <alignment vertical="center"/>
    </xf>
    <xf numFmtId="164" fontId="33" fillId="11" borderId="1" xfId="1" applyNumberFormat="1" applyFont="1" applyFill="1" applyBorder="1" applyAlignment="1">
      <alignment vertical="center" wrapText="1"/>
    </xf>
    <xf numFmtId="164" fontId="33" fillId="0" borderId="1" xfId="1" applyNumberFormat="1" applyFont="1" applyFill="1" applyBorder="1" applyAlignment="1">
      <alignment vertical="center" wrapText="1"/>
    </xf>
    <xf numFmtId="0" fontId="33" fillId="0" borderId="1" xfId="0" applyFont="1" applyBorder="1" applyAlignment="1">
      <alignment vertical="center" wrapText="1"/>
    </xf>
    <xf numFmtId="164" fontId="35" fillId="8" borderId="1" xfId="1" applyNumberFormat="1" applyFont="1" applyFill="1" applyBorder="1" applyAlignment="1">
      <alignment vertical="center" wrapText="1"/>
    </xf>
    <xf numFmtId="165" fontId="36" fillId="3" borderId="1" xfId="0" applyNumberFormat="1" applyFont="1" applyFill="1" applyBorder="1" applyAlignment="1">
      <alignment vertical="center"/>
    </xf>
    <xf numFmtId="14" fontId="36" fillId="3" borderId="1" xfId="0" applyNumberFormat="1" applyFont="1" applyFill="1" applyBorder="1" applyAlignment="1">
      <alignment vertical="center" wrapText="1"/>
    </xf>
    <xf numFmtId="0" fontId="36" fillId="0" borderId="1" xfId="0" applyFont="1" applyBorder="1" applyAlignment="1">
      <alignment vertical="center"/>
    </xf>
    <xf numFmtId="0" fontId="37" fillId="0" borderId="1" xfId="0" applyFont="1" applyBorder="1" applyAlignment="1">
      <alignment vertical="center" wrapText="1"/>
    </xf>
    <xf numFmtId="0" fontId="38" fillId="0" borderId="1" xfId="0" applyFont="1" applyBorder="1" applyAlignment="1">
      <alignment horizontal="left" vertical="center" wrapText="1"/>
    </xf>
    <xf numFmtId="0" fontId="39" fillId="0" borderId="1" xfId="0" applyFont="1" applyBorder="1" applyAlignment="1">
      <alignment vertical="center" wrapText="1"/>
    </xf>
    <xf numFmtId="0" fontId="40" fillId="0" borderId="1" xfId="0" applyFont="1" applyBorder="1" applyAlignment="1">
      <alignment vertical="center" wrapText="1"/>
    </xf>
    <xf numFmtId="164" fontId="39" fillId="0" borderId="1" xfId="1" applyNumberFormat="1" applyFont="1" applyFill="1" applyBorder="1" applyAlignment="1">
      <alignment vertical="center" wrapText="1"/>
    </xf>
    <xf numFmtId="164" fontId="41" fillId="0" borderId="1" xfId="1" applyNumberFormat="1" applyFont="1" applyFill="1" applyBorder="1" applyAlignment="1">
      <alignment vertical="center" wrapText="1"/>
    </xf>
    <xf numFmtId="164" fontId="39" fillId="11" borderId="1" xfId="1" applyNumberFormat="1" applyFont="1" applyFill="1" applyBorder="1" applyAlignment="1">
      <alignment vertical="center" wrapText="1"/>
    </xf>
    <xf numFmtId="164" fontId="41" fillId="8" borderId="1" xfId="1" applyNumberFormat="1" applyFont="1" applyFill="1" applyBorder="1" applyAlignment="1">
      <alignment vertical="center" wrapText="1"/>
    </xf>
    <xf numFmtId="14" fontId="42" fillId="0" borderId="1" xfId="0" applyNumberFormat="1" applyFont="1" applyBorder="1" applyAlignment="1">
      <alignment vertical="center" wrapText="1"/>
    </xf>
    <xf numFmtId="165" fontId="42" fillId="0" borderId="1" xfId="0" applyNumberFormat="1" applyFont="1" applyBorder="1" applyAlignment="1">
      <alignment vertical="center"/>
    </xf>
    <xf numFmtId="0" fontId="42" fillId="0" borderId="1" xfId="0" applyFont="1" applyBorder="1" applyAlignment="1">
      <alignment vertical="center"/>
    </xf>
    <xf numFmtId="0" fontId="43" fillId="0" borderId="1" xfId="0" applyFont="1" applyBorder="1" applyAlignment="1">
      <alignment vertical="center" wrapText="1"/>
    </xf>
    <xf numFmtId="0" fontId="43" fillId="0" borderId="1" xfId="0" applyFont="1" applyBorder="1" applyAlignment="1">
      <alignment vertical="center"/>
    </xf>
    <xf numFmtId="41" fontId="39" fillId="0" borderId="1" xfId="2" applyFont="1" applyFill="1" applyBorder="1" applyAlignment="1">
      <alignment vertical="center" wrapText="1"/>
    </xf>
    <xf numFmtId="0" fontId="42" fillId="0" borderId="0" xfId="0" applyFont="1" applyAlignment="1">
      <alignment vertical="center" wrapText="1"/>
    </xf>
    <xf numFmtId="0" fontId="42" fillId="0" borderId="0" xfId="0" applyFont="1" applyAlignment="1">
      <alignment vertical="center"/>
    </xf>
    <xf numFmtId="0" fontId="43" fillId="9" borderId="1" xfId="0" applyFont="1" applyFill="1" applyBorder="1" applyAlignment="1">
      <alignment vertical="center"/>
    </xf>
    <xf numFmtId="0" fontId="38" fillId="3" borderId="1" xfId="0" applyFont="1" applyFill="1" applyBorder="1" applyAlignment="1">
      <alignment horizontal="left" vertical="center" wrapText="1"/>
    </xf>
    <xf numFmtId="0" fontId="39" fillId="3" borderId="1" xfId="0" applyFont="1" applyFill="1" applyBorder="1" applyAlignment="1">
      <alignment vertical="center" wrapText="1"/>
    </xf>
    <xf numFmtId="0" fontId="40" fillId="3" borderId="1" xfId="0" applyFont="1" applyFill="1" applyBorder="1" applyAlignment="1">
      <alignment vertical="center" wrapText="1"/>
    </xf>
    <xf numFmtId="164" fontId="41" fillId="3" borderId="1" xfId="1" applyNumberFormat="1" applyFont="1" applyFill="1" applyBorder="1" applyAlignment="1">
      <alignment vertical="center" wrapText="1"/>
    </xf>
    <xf numFmtId="164" fontId="39" fillId="3" borderId="1" xfId="1" applyNumberFormat="1" applyFont="1" applyFill="1" applyBorder="1" applyAlignment="1">
      <alignment vertical="center" wrapText="1"/>
    </xf>
    <xf numFmtId="14" fontId="42" fillId="3" borderId="1" xfId="0" applyNumberFormat="1" applyFont="1" applyFill="1" applyBorder="1" applyAlignment="1">
      <alignment vertical="center" wrapText="1"/>
    </xf>
    <xf numFmtId="165" fontId="42" fillId="3" borderId="1" xfId="0" applyNumberFormat="1" applyFont="1" applyFill="1" applyBorder="1" applyAlignment="1">
      <alignment vertical="center"/>
    </xf>
    <xf numFmtId="0" fontId="42" fillId="3" borderId="0" xfId="0" applyFont="1" applyFill="1" applyAlignment="1">
      <alignment vertical="center"/>
    </xf>
    <xf numFmtId="0" fontId="42" fillId="0" borderId="6" xfId="0" applyFont="1" applyBorder="1" applyAlignment="1">
      <alignment vertical="center" wrapText="1"/>
    </xf>
    <xf numFmtId="0" fontId="42" fillId="0" borderId="1" xfId="0" applyFont="1" applyBorder="1" applyAlignment="1">
      <alignment vertical="center" wrapText="1"/>
    </xf>
    <xf numFmtId="0" fontId="42" fillId="3" borderId="1" xfId="0" applyFont="1" applyFill="1" applyBorder="1" applyAlignment="1">
      <alignment vertical="center"/>
    </xf>
    <xf numFmtId="0" fontId="42" fillId="0" borderId="2" xfId="0" applyFont="1" applyBorder="1" applyAlignment="1">
      <alignment vertical="center"/>
    </xf>
    <xf numFmtId="9" fontId="40" fillId="0" borderId="1" xfId="3" applyFont="1" applyFill="1" applyBorder="1" applyAlignment="1">
      <alignment vertical="center" wrapText="1"/>
    </xf>
    <xf numFmtId="1" fontId="39" fillId="0" borderId="1" xfId="0" applyNumberFormat="1" applyFont="1" applyBorder="1" applyAlignment="1">
      <alignment vertical="center" wrapText="1"/>
    </xf>
    <xf numFmtId="0" fontId="44" fillId="3" borderId="1" xfId="0" applyFont="1" applyFill="1" applyBorder="1" applyAlignment="1">
      <alignment vertical="center"/>
    </xf>
    <xf numFmtId="0" fontId="45" fillId="3" borderId="1" xfId="0" applyFont="1" applyFill="1" applyBorder="1" applyAlignment="1">
      <alignment horizontal="left" vertical="center" wrapText="1"/>
    </xf>
    <xf numFmtId="0" fontId="46" fillId="3" borderId="1" xfId="0" applyFont="1" applyFill="1" applyBorder="1" applyAlignment="1">
      <alignment vertical="center" wrapText="1"/>
    </xf>
    <xf numFmtId="0" fontId="47" fillId="3" borderId="1" xfId="0" applyFont="1" applyFill="1" applyBorder="1" applyAlignment="1">
      <alignment vertical="center" wrapText="1"/>
    </xf>
    <xf numFmtId="164" fontId="48" fillId="3" borderId="1" xfId="1" applyNumberFormat="1" applyFont="1" applyFill="1" applyBorder="1" applyAlignment="1">
      <alignment vertical="center" wrapText="1"/>
    </xf>
    <xf numFmtId="164" fontId="46" fillId="3" borderId="1" xfId="1" applyNumberFormat="1" applyFont="1" applyFill="1" applyBorder="1" applyAlignment="1">
      <alignment vertical="center" wrapText="1"/>
    </xf>
    <xf numFmtId="164" fontId="46" fillId="11" borderId="1" xfId="1" applyNumberFormat="1" applyFont="1" applyFill="1" applyBorder="1" applyAlignment="1">
      <alignment vertical="center" wrapText="1"/>
    </xf>
    <xf numFmtId="164" fontId="46" fillId="0" borderId="1" xfId="1" applyNumberFormat="1" applyFont="1" applyFill="1" applyBorder="1" applyAlignment="1">
      <alignment vertical="center" wrapText="1"/>
    </xf>
    <xf numFmtId="1" fontId="46" fillId="0" borderId="1" xfId="0" applyNumberFormat="1" applyFont="1" applyBorder="1" applyAlignment="1">
      <alignment vertical="center" wrapText="1"/>
    </xf>
    <xf numFmtId="0" fontId="46" fillId="0" borderId="1" xfId="0" applyFont="1" applyBorder="1" applyAlignment="1">
      <alignment vertical="center" wrapText="1"/>
    </xf>
    <xf numFmtId="164" fontId="48" fillId="8" borderId="1" xfId="1" applyNumberFormat="1" applyFont="1" applyFill="1" applyBorder="1" applyAlignment="1">
      <alignment vertical="center" wrapText="1"/>
    </xf>
    <xf numFmtId="14" fontId="49" fillId="3" borderId="1" xfId="0" applyNumberFormat="1" applyFont="1" applyFill="1" applyBorder="1" applyAlignment="1">
      <alignment vertical="center" wrapText="1"/>
    </xf>
    <xf numFmtId="165" fontId="49" fillId="3" borderId="1" xfId="0" applyNumberFormat="1" applyFont="1" applyFill="1" applyBorder="1" applyAlignment="1">
      <alignment vertical="center"/>
    </xf>
    <xf numFmtId="0" fontId="49" fillId="0" borderId="1" xfId="0" applyFont="1" applyBorder="1" applyAlignment="1">
      <alignment vertical="center"/>
    </xf>
    <xf numFmtId="0" fontId="44" fillId="0" borderId="1" xfId="0" applyFont="1" applyBorder="1" applyAlignment="1">
      <alignment vertical="center" wrapText="1"/>
    </xf>
    <xf numFmtId="0" fontId="49" fillId="0" borderId="0" xfId="0" applyFont="1" applyAlignment="1">
      <alignment vertical="center" wrapText="1"/>
    </xf>
    <xf numFmtId="0" fontId="49" fillId="0" borderId="0" xfId="0" applyFont="1" applyAlignment="1">
      <alignment vertical="center"/>
    </xf>
    <xf numFmtId="0" fontId="49" fillId="3" borderId="0" xfId="0" applyFont="1" applyFill="1" applyAlignment="1">
      <alignment vertical="center"/>
    </xf>
    <xf numFmtId="0" fontId="44" fillId="0" borderId="1" xfId="0" applyFont="1" applyBorder="1" applyAlignment="1">
      <alignment vertical="center"/>
    </xf>
    <xf numFmtId="0" fontId="45" fillId="0" borderId="1" xfId="0" applyFont="1" applyBorder="1" applyAlignment="1">
      <alignment horizontal="left" vertical="center" wrapText="1"/>
    </xf>
    <xf numFmtId="0" fontId="47" fillId="0" borderId="1" xfId="0" applyFont="1" applyBorder="1" applyAlignment="1">
      <alignment vertical="center" wrapText="1"/>
    </xf>
    <xf numFmtId="164" fontId="48" fillId="0" borderId="1" xfId="1" applyNumberFormat="1" applyFont="1" applyFill="1" applyBorder="1" applyAlignment="1">
      <alignment vertical="center" wrapText="1"/>
    </xf>
    <xf numFmtId="14" fontId="49" fillId="0" borderId="1" xfId="0" applyNumberFormat="1" applyFont="1" applyBorder="1" applyAlignment="1">
      <alignment vertical="center" wrapText="1"/>
    </xf>
    <xf numFmtId="165" fontId="49" fillId="0" borderId="1" xfId="0" applyNumberFormat="1" applyFont="1" applyBorder="1" applyAlignment="1">
      <alignment vertical="center"/>
    </xf>
    <xf numFmtId="0" fontId="44" fillId="9" borderId="1" xfId="0" applyFont="1" applyFill="1" applyBorder="1" applyAlignment="1">
      <alignment vertical="center"/>
    </xf>
    <xf numFmtId="0" fontId="49" fillId="0" borderId="6" xfId="0" applyFont="1" applyBorder="1" applyAlignment="1">
      <alignment vertical="center" wrapText="1"/>
    </xf>
    <xf numFmtId="0" fontId="49" fillId="0" borderId="1" xfId="0" applyFont="1" applyBorder="1" applyAlignment="1">
      <alignment vertical="center" wrapText="1"/>
    </xf>
    <xf numFmtId="0" fontId="49" fillId="3" borderId="1" xfId="0" applyFont="1" applyFill="1" applyBorder="1" applyAlignment="1">
      <alignment vertical="center"/>
    </xf>
    <xf numFmtId="0" fontId="50" fillId="0" borderId="1" xfId="0" applyFont="1" applyBorder="1" applyAlignment="1">
      <alignment vertical="center"/>
    </xf>
    <xf numFmtId="0" fontId="51" fillId="0" borderId="1" xfId="0" applyFont="1" applyBorder="1" applyAlignment="1">
      <alignment horizontal="left" vertical="center" wrapText="1"/>
    </xf>
    <xf numFmtId="0" fontId="52" fillId="0" borderId="1" xfId="0" applyFont="1" applyBorder="1" applyAlignment="1">
      <alignment vertical="center" wrapText="1"/>
    </xf>
    <xf numFmtId="0" fontId="53" fillId="0" borderId="1" xfId="0" applyFont="1" applyBorder="1" applyAlignment="1">
      <alignment vertical="center" wrapText="1"/>
    </xf>
    <xf numFmtId="164" fontId="54" fillId="0" borderId="1" xfId="1" applyNumberFormat="1" applyFont="1" applyFill="1" applyBorder="1" applyAlignment="1">
      <alignment vertical="center" wrapText="1"/>
    </xf>
    <xf numFmtId="164" fontId="52" fillId="0" borderId="1" xfId="1" applyNumberFormat="1" applyFont="1" applyFill="1" applyBorder="1" applyAlignment="1">
      <alignment vertical="center" wrapText="1"/>
    </xf>
    <xf numFmtId="164" fontId="52" fillId="11" borderId="1" xfId="1" applyNumberFormat="1" applyFont="1" applyFill="1" applyBorder="1" applyAlignment="1">
      <alignment vertical="center" wrapText="1"/>
    </xf>
    <xf numFmtId="164" fontId="54" fillId="8" borderId="1" xfId="1" applyNumberFormat="1" applyFont="1" applyFill="1" applyBorder="1" applyAlignment="1">
      <alignment vertical="center" wrapText="1"/>
    </xf>
    <xf numFmtId="14" fontId="55" fillId="0" borderId="1" xfId="0" applyNumberFormat="1" applyFont="1" applyBorder="1" applyAlignment="1">
      <alignment vertical="center" wrapText="1"/>
    </xf>
    <xf numFmtId="165" fontId="55" fillId="0" borderId="1" xfId="0" applyNumberFormat="1" applyFont="1" applyBorder="1" applyAlignment="1">
      <alignment vertical="center"/>
    </xf>
    <xf numFmtId="0" fontId="55" fillId="0" borderId="1" xfId="0" applyFont="1" applyBorder="1" applyAlignment="1">
      <alignment vertical="center"/>
    </xf>
    <xf numFmtId="0" fontId="50" fillId="0" borderId="1" xfId="0" applyFont="1" applyBorder="1" applyAlignment="1">
      <alignment vertical="center" wrapText="1"/>
    </xf>
    <xf numFmtId="0" fontId="55" fillId="0" borderId="0" xfId="0" applyFont="1" applyAlignment="1">
      <alignment vertical="center" wrapText="1"/>
    </xf>
    <xf numFmtId="0" fontId="55" fillId="0" borderId="0" xfId="0" applyFont="1" applyAlignment="1">
      <alignment vertical="center"/>
    </xf>
    <xf numFmtId="0" fontId="54" fillId="0" borderId="1" xfId="0" applyFont="1" applyBorder="1" applyAlignment="1">
      <alignment vertical="center" wrapText="1"/>
    </xf>
    <xf numFmtId="164" fontId="52" fillId="0" borderId="1" xfId="1" applyNumberFormat="1" applyFont="1" applyBorder="1" applyAlignment="1">
      <alignment vertical="center" wrapText="1"/>
    </xf>
    <xf numFmtId="164" fontId="54" fillId="3" borderId="1" xfId="1" applyNumberFormat="1" applyFont="1" applyFill="1" applyBorder="1" applyAlignment="1">
      <alignment vertical="center" wrapText="1"/>
    </xf>
    <xf numFmtId="164" fontId="52" fillId="3" borderId="1" xfId="1" applyNumberFormat="1" applyFont="1" applyFill="1" applyBorder="1" applyAlignment="1">
      <alignment vertical="center" wrapText="1"/>
    </xf>
    <xf numFmtId="41" fontId="50" fillId="0" borderId="1" xfId="2" applyFont="1" applyFill="1" applyBorder="1" applyAlignment="1">
      <alignment vertical="center"/>
    </xf>
    <xf numFmtId="0" fontId="55" fillId="3" borderId="0" xfId="0" applyFont="1" applyFill="1" applyAlignment="1">
      <alignment vertical="center"/>
    </xf>
    <xf numFmtId="0" fontId="50" fillId="3" borderId="1" xfId="0" applyFont="1" applyFill="1" applyBorder="1" applyAlignment="1">
      <alignment vertical="center"/>
    </xf>
    <xf numFmtId="0" fontId="51" fillId="3" borderId="1" xfId="0" applyFont="1" applyFill="1" applyBorder="1" applyAlignment="1">
      <alignment horizontal="left" vertical="center" wrapText="1"/>
    </xf>
    <xf numFmtId="0" fontId="52" fillId="3" borderId="1" xfId="0" applyFont="1" applyFill="1" applyBorder="1" applyAlignment="1">
      <alignment vertical="center"/>
    </xf>
    <xf numFmtId="0" fontId="53" fillId="3" borderId="1" xfId="0" applyFont="1" applyFill="1" applyBorder="1" applyAlignment="1">
      <alignment vertical="center" wrapText="1"/>
    </xf>
    <xf numFmtId="0" fontId="52" fillId="3" borderId="1" xfId="0" applyFont="1" applyFill="1" applyBorder="1" applyAlignment="1">
      <alignment vertical="center" wrapText="1"/>
    </xf>
    <xf numFmtId="14" fontId="55" fillId="3" borderId="1" xfId="0" applyNumberFormat="1" applyFont="1" applyFill="1" applyBorder="1" applyAlignment="1">
      <alignment vertical="center" wrapText="1"/>
    </xf>
    <xf numFmtId="165" fontId="55" fillId="3" borderId="1" xfId="0" applyNumberFormat="1" applyFont="1" applyFill="1" applyBorder="1" applyAlignment="1">
      <alignment vertical="center"/>
    </xf>
    <xf numFmtId="41" fontId="52" fillId="3" borderId="1" xfId="2" applyFont="1" applyFill="1" applyBorder="1" applyAlignment="1">
      <alignment vertical="center"/>
    </xf>
    <xf numFmtId="41" fontId="52" fillId="3" borderId="1" xfId="2" applyFont="1" applyFill="1" applyBorder="1" applyAlignment="1">
      <alignment vertical="center" wrapText="1"/>
    </xf>
    <xf numFmtId="41" fontId="52" fillId="0" borderId="1" xfId="2" applyFont="1" applyFill="1" applyBorder="1" applyAlignment="1">
      <alignment vertical="center" wrapText="1"/>
    </xf>
    <xf numFmtId="1" fontId="52" fillId="0" borderId="1" xfId="0" applyNumberFormat="1" applyFont="1" applyBorder="1" applyAlignment="1">
      <alignment vertical="center" wrapText="1"/>
    </xf>
    <xf numFmtId="0" fontId="52" fillId="0" borderId="1" xfId="0" applyFont="1" applyBorder="1" applyAlignment="1">
      <alignment vertical="center"/>
    </xf>
    <xf numFmtId="0" fontId="54" fillId="0" borderId="1" xfId="0" applyFont="1" applyBorder="1" applyAlignment="1">
      <alignment vertical="center"/>
    </xf>
    <xf numFmtId="0" fontId="52" fillId="0" borderId="0" xfId="0" applyFont="1" applyAlignment="1">
      <alignment vertical="center"/>
    </xf>
    <xf numFmtId="0" fontId="50" fillId="9" borderId="1" xfId="0" applyFont="1" applyFill="1" applyBorder="1" applyAlignment="1">
      <alignment vertical="center"/>
    </xf>
    <xf numFmtId="0" fontId="16" fillId="3" borderId="1" xfId="0" applyFont="1" applyFill="1" applyBorder="1" applyAlignment="1">
      <alignment vertical="center" wrapText="1"/>
    </xf>
    <xf numFmtId="9" fontId="6" fillId="0" borderId="1" xfId="3" applyFont="1" applyBorder="1" applyAlignment="1">
      <alignment vertical="center" wrapText="1"/>
    </xf>
    <xf numFmtId="164" fontId="7" fillId="0" borderId="0" xfId="0" applyNumberFormat="1" applyFont="1" applyAlignment="1">
      <alignment vertical="center" wrapText="1"/>
    </xf>
    <xf numFmtId="164" fontId="7" fillId="0" borderId="0" xfId="0" applyNumberFormat="1" applyFont="1" applyAlignment="1">
      <alignment vertical="center"/>
    </xf>
    <xf numFmtId="3" fontId="56" fillId="12" borderId="3" xfId="21" applyNumberFormat="1" applyFont="1" applyFill="1" applyBorder="1" applyAlignment="1">
      <alignment vertical="center"/>
    </xf>
    <xf numFmtId="3" fontId="57" fillId="12" borderId="3" xfId="21" applyNumberFormat="1" applyFont="1" applyFill="1" applyBorder="1" applyAlignment="1">
      <alignment vertical="center"/>
    </xf>
    <xf numFmtId="164" fontId="7" fillId="0" borderId="1" xfId="0" applyNumberFormat="1" applyFont="1" applyBorder="1" applyAlignment="1">
      <alignment vertical="center" wrapText="1"/>
    </xf>
    <xf numFmtId="164" fontId="7" fillId="0" borderId="1" xfId="0" applyNumberFormat="1" applyFont="1" applyBorder="1" applyAlignment="1">
      <alignment vertical="center"/>
    </xf>
    <xf numFmtId="164" fontId="49" fillId="0" borderId="0" xfId="0" applyNumberFormat="1" applyFont="1" applyAlignment="1">
      <alignment vertical="center" wrapText="1"/>
    </xf>
    <xf numFmtId="164" fontId="4" fillId="8" borderId="0" xfId="0" applyNumberFormat="1" applyFont="1" applyFill="1" applyAlignment="1">
      <alignment vertical="center"/>
    </xf>
    <xf numFmtId="41" fontId="7" fillId="0" borderId="0" xfId="0" applyNumberFormat="1" applyFont="1" applyAlignment="1">
      <alignment vertical="center"/>
    </xf>
    <xf numFmtId="164" fontId="7" fillId="3" borderId="0" xfId="0" applyNumberFormat="1" applyFont="1" applyFill="1" applyAlignment="1">
      <alignment vertical="center" wrapText="1"/>
    </xf>
    <xf numFmtId="3" fontId="7" fillId="0" borderId="2" xfId="0" applyNumberFormat="1" applyFont="1" applyBorder="1" applyAlignment="1">
      <alignment vertical="center" wrapText="1"/>
    </xf>
    <xf numFmtId="0" fontId="4" fillId="5" borderId="1" xfId="0" applyFont="1" applyFill="1" applyBorder="1" applyAlignment="1">
      <alignment vertical="center"/>
    </xf>
    <xf numFmtId="0" fontId="12" fillId="5" borderId="1" xfId="0" applyFont="1" applyFill="1" applyBorder="1" applyAlignment="1">
      <alignment horizontal="left" vertical="center" wrapText="1"/>
    </xf>
    <xf numFmtId="0" fontId="6" fillId="5" borderId="1" xfId="0" applyFont="1" applyFill="1" applyBorder="1" applyAlignment="1">
      <alignment vertical="center" wrapText="1"/>
    </xf>
    <xf numFmtId="0" fontId="25" fillId="5" borderId="1" xfId="0" applyFont="1" applyFill="1" applyBorder="1" applyAlignment="1">
      <alignment vertical="center" wrapText="1"/>
    </xf>
    <xf numFmtId="164" fontId="11" fillId="5" borderId="1" xfId="1" applyNumberFormat="1" applyFont="1" applyFill="1" applyBorder="1" applyAlignment="1">
      <alignment vertical="center" wrapText="1"/>
    </xf>
    <xf numFmtId="164" fontId="6" fillId="5" borderId="1" xfId="1" applyNumberFormat="1" applyFont="1" applyFill="1" applyBorder="1" applyAlignment="1">
      <alignment vertical="center" wrapText="1"/>
    </xf>
    <xf numFmtId="14" fontId="7" fillId="5" borderId="1" xfId="0" applyNumberFormat="1" applyFont="1" applyFill="1" applyBorder="1" applyAlignment="1">
      <alignment vertical="center" wrapText="1"/>
    </xf>
    <xf numFmtId="165" fontId="7" fillId="5" borderId="1" xfId="0" applyNumberFormat="1" applyFont="1" applyFill="1" applyBorder="1" applyAlignment="1">
      <alignment vertical="center"/>
    </xf>
    <xf numFmtId="0" fontId="7" fillId="5" borderId="1" xfId="0" applyFont="1" applyFill="1" applyBorder="1" applyAlignment="1">
      <alignment vertical="center"/>
    </xf>
    <xf numFmtId="0" fontId="4" fillId="5" borderId="1" xfId="0" applyFont="1" applyFill="1" applyBorder="1" applyAlignment="1">
      <alignment vertical="center" wrapText="1"/>
    </xf>
    <xf numFmtId="0" fontId="7" fillId="5" borderId="0" xfId="0" applyFont="1" applyFill="1" applyAlignment="1">
      <alignment vertical="center" wrapText="1"/>
    </xf>
    <xf numFmtId="0" fontId="7" fillId="5" borderId="0" xfId="0" applyFont="1" applyFill="1" applyAlignment="1">
      <alignment vertical="center"/>
    </xf>
    <xf numFmtId="0" fontId="44" fillId="5" borderId="1" xfId="0" applyFont="1" applyFill="1" applyBorder="1" applyAlignment="1">
      <alignment vertical="center"/>
    </xf>
    <xf numFmtId="0" fontId="45" fillId="5" borderId="1" xfId="0" applyFont="1" applyFill="1" applyBorder="1" applyAlignment="1">
      <alignment horizontal="left" vertical="center" wrapText="1"/>
    </xf>
    <xf numFmtId="0" fontId="46" fillId="5" borderId="1" xfId="0" applyFont="1" applyFill="1" applyBorder="1" applyAlignment="1">
      <alignment vertical="center" wrapText="1"/>
    </xf>
    <xf numFmtId="0" fontId="47" fillId="5" borderId="1" xfId="0" applyFont="1" applyFill="1" applyBorder="1" applyAlignment="1">
      <alignment vertical="center" wrapText="1"/>
    </xf>
    <xf numFmtId="164" fontId="48" fillId="5" borderId="1" xfId="1" applyNumberFormat="1" applyFont="1" applyFill="1" applyBorder="1" applyAlignment="1">
      <alignment vertical="center" wrapText="1"/>
    </xf>
    <xf numFmtId="164" fontId="46" fillId="5" borderId="1" xfId="1" applyNumberFormat="1" applyFont="1" applyFill="1" applyBorder="1" applyAlignment="1">
      <alignment vertical="center" wrapText="1"/>
    </xf>
    <xf numFmtId="14" fontId="49" fillId="5" borderId="1" xfId="0" applyNumberFormat="1" applyFont="1" applyFill="1" applyBorder="1" applyAlignment="1">
      <alignment vertical="center" wrapText="1"/>
    </xf>
    <xf numFmtId="165" fontId="49" fillId="5" borderId="1" xfId="0" applyNumberFormat="1" applyFont="1" applyFill="1" applyBorder="1" applyAlignment="1">
      <alignment vertical="center"/>
    </xf>
    <xf numFmtId="0" fontId="49" fillId="5" borderId="1" xfId="0" applyFont="1" applyFill="1" applyBorder="1" applyAlignment="1">
      <alignment vertical="center"/>
    </xf>
    <xf numFmtId="0" fontId="44" fillId="5" borderId="1" xfId="0" applyFont="1" applyFill="1" applyBorder="1" applyAlignment="1">
      <alignment vertical="center" wrapText="1"/>
    </xf>
    <xf numFmtId="0" fontId="49" fillId="5" borderId="0" xfId="0" applyFont="1" applyFill="1" applyAlignment="1">
      <alignment vertical="center" wrapText="1"/>
    </xf>
    <xf numFmtId="0" fontId="49" fillId="5" borderId="0" xfId="0" applyFont="1" applyFill="1" applyAlignment="1">
      <alignment vertical="center"/>
    </xf>
    <xf numFmtId="1" fontId="46" fillId="5" borderId="1" xfId="0" applyNumberFormat="1" applyFont="1" applyFill="1" applyBorder="1" applyAlignment="1">
      <alignment vertical="center" wrapText="1"/>
    </xf>
    <xf numFmtId="0" fontId="4" fillId="5" borderId="0" xfId="0" applyFont="1" applyFill="1" applyAlignment="1">
      <alignment vertical="center"/>
    </xf>
    <xf numFmtId="0" fontId="6" fillId="5" borderId="0" xfId="0" applyFont="1" applyFill="1" applyAlignment="1">
      <alignment vertical="center"/>
    </xf>
    <xf numFmtId="164" fontId="11" fillId="5" borderId="0" xfId="1" applyNumberFormat="1" applyFont="1" applyFill="1" applyAlignment="1">
      <alignment vertical="center"/>
    </xf>
    <xf numFmtId="164" fontId="6" fillId="5" borderId="0" xfId="1" applyNumberFormat="1" applyFont="1" applyFill="1" applyAlignment="1">
      <alignment vertical="center"/>
    </xf>
    <xf numFmtId="0" fontId="4" fillId="5" borderId="0" xfId="0" applyFont="1" applyFill="1" applyAlignment="1">
      <alignment vertical="center" wrapText="1"/>
    </xf>
    <xf numFmtId="17" fontId="17" fillId="2"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6" fillId="8" borderId="0" xfId="0" applyFont="1" applyFill="1" applyAlignment="1">
      <alignment horizontal="center" vertical="center"/>
    </xf>
    <xf numFmtId="0" fontId="16" fillId="11" borderId="13" xfId="0" applyFont="1" applyFill="1" applyBorder="1" applyAlignment="1">
      <alignment horizontal="center" vertical="center" wrapText="1"/>
    </xf>
    <xf numFmtId="0" fontId="16" fillId="11" borderId="14" xfId="0" applyFont="1" applyFill="1" applyBorder="1" applyAlignment="1">
      <alignment horizontal="center" vertical="center" wrapText="1"/>
    </xf>
    <xf numFmtId="0" fontId="16" fillId="11" borderId="5" xfId="0" applyFont="1" applyFill="1" applyBorder="1" applyAlignment="1">
      <alignment horizontal="center" vertical="center" wrapText="1"/>
    </xf>
    <xf numFmtId="0" fontId="30" fillId="3" borderId="1" xfId="0" applyFont="1" applyFill="1" applyBorder="1" applyAlignment="1">
      <alignment vertical="center"/>
    </xf>
    <xf numFmtId="0" fontId="29" fillId="3" borderId="1" xfId="0" applyFont="1" applyFill="1" applyBorder="1" applyAlignment="1">
      <alignment horizontal="left" vertical="center" wrapText="1"/>
    </xf>
    <xf numFmtId="0" fontId="29" fillId="3" borderId="1" xfId="0" applyFont="1" applyFill="1" applyBorder="1" applyAlignment="1">
      <alignment vertical="center" wrapText="1"/>
    </xf>
    <xf numFmtId="0" fontId="58" fillId="3" borderId="1" xfId="0" applyFont="1" applyFill="1" applyBorder="1" applyAlignment="1">
      <alignment vertical="center" wrapText="1"/>
    </xf>
    <xf numFmtId="164" fontId="29" fillId="3" borderId="1" xfId="1" applyNumberFormat="1" applyFont="1" applyFill="1" applyBorder="1" applyAlignment="1">
      <alignment vertical="center" wrapText="1"/>
    </xf>
    <xf numFmtId="164" fontId="30" fillId="3" borderId="1" xfId="1" applyNumberFormat="1" applyFont="1" applyFill="1" applyBorder="1" applyAlignment="1">
      <alignment vertical="center" wrapText="1"/>
    </xf>
    <xf numFmtId="164" fontId="29" fillId="3" borderId="1" xfId="1" applyNumberFormat="1" applyFont="1" applyFill="1" applyBorder="1" applyAlignment="1">
      <alignment vertical="center"/>
    </xf>
    <xf numFmtId="14" fontId="31" fillId="3" borderId="1" xfId="0" applyNumberFormat="1" applyFont="1" applyFill="1" applyBorder="1" applyAlignment="1">
      <alignment vertical="center" wrapText="1"/>
    </xf>
    <xf numFmtId="165" fontId="29" fillId="3" borderId="1" xfId="0" applyNumberFormat="1" applyFont="1" applyFill="1" applyBorder="1" applyAlignment="1">
      <alignment vertical="center"/>
    </xf>
    <xf numFmtId="0" fontId="29" fillId="3" borderId="1" xfId="0" applyFont="1" applyFill="1" applyBorder="1" applyAlignment="1">
      <alignment vertical="center"/>
    </xf>
    <xf numFmtId="0" fontId="30" fillId="3" borderId="1" xfId="0" applyFont="1" applyFill="1" applyBorder="1" applyAlignment="1">
      <alignment vertical="center" wrapText="1"/>
    </xf>
    <xf numFmtId="41" fontId="29" fillId="3" borderId="1" xfId="2" applyFont="1" applyFill="1" applyBorder="1" applyAlignment="1">
      <alignment vertical="center" wrapText="1"/>
    </xf>
    <xf numFmtId="0" fontId="31" fillId="0" borderId="0" xfId="0" applyFont="1" applyAlignment="1">
      <alignment vertical="center"/>
    </xf>
    <xf numFmtId="0" fontId="31" fillId="0" borderId="0" xfId="0" applyFont="1" applyAlignment="1">
      <alignment vertical="center" wrapText="1"/>
    </xf>
    <xf numFmtId="0" fontId="29" fillId="3" borderId="0" xfId="0" applyFont="1" applyFill="1" applyAlignment="1">
      <alignment vertical="center" wrapText="1"/>
    </xf>
    <xf numFmtId="164" fontId="29" fillId="3" borderId="0" xfId="0" applyNumberFormat="1" applyFont="1" applyFill="1" applyAlignment="1">
      <alignment vertical="center" wrapText="1"/>
    </xf>
  </cellXfs>
  <cellStyles count="22">
    <cellStyle name="Milliers" xfId="1" builtinId="3"/>
    <cellStyle name="Milliers [0]" xfId="2" builtinId="6"/>
    <cellStyle name="Milliers [0] 2" xfId="5" xr:uid="{ECF9769A-80A0-4A2A-9B3E-A6802CA7A666}"/>
    <cellStyle name="Milliers [0] 2 2" xfId="14" xr:uid="{FC872E30-B64D-4C6B-922F-1E4C67079FBE}"/>
    <cellStyle name="Milliers [0] 3" xfId="12" xr:uid="{36FD044F-9693-454E-BBE6-DA4F7DF3FF78}"/>
    <cellStyle name="Milliers 2" xfId="4" xr:uid="{23CAEE30-C494-4F4A-80E2-25DCC255869F}"/>
    <cellStyle name="Milliers 2 2" xfId="13" xr:uid="{1D3B9A1A-A941-4F35-8FCC-ACF12CCB8E84}"/>
    <cellStyle name="Milliers 3" xfId="6" xr:uid="{99FD709C-E97A-483E-BB42-44E6F5DD8722}"/>
    <cellStyle name="Milliers 3 2" xfId="15" xr:uid="{A5698197-F5DA-4D8A-BE6C-2803B45C63E6}"/>
    <cellStyle name="Milliers 4" xfId="7" xr:uid="{FEA0C235-7123-42C1-9F6C-97A9A85CF60F}"/>
    <cellStyle name="Milliers 4 2" xfId="16" xr:uid="{7AFE6DBD-4A01-45EE-ABA4-C9AB4439BF87}"/>
    <cellStyle name="Milliers 5" xfId="8" xr:uid="{D03B6D59-197D-431C-94D6-293D22628476}"/>
    <cellStyle name="Milliers 5 2" xfId="17" xr:uid="{6FC75601-C2A3-4B03-8474-C49F8B386904}"/>
    <cellStyle name="Milliers 6" xfId="9" xr:uid="{86A90CE8-DC4D-4ADC-970C-E59CEB5A32A9}"/>
    <cellStyle name="Milliers 6 2" xfId="18" xr:uid="{E636AAF0-A326-481F-8621-C6D7ACC620DA}"/>
    <cellStyle name="Milliers 7" xfId="10" xr:uid="{D1309D49-E3C1-4C24-A5D6-CEFB37E7B835}"/>
    <cellStyle name="Milliers 7 2" xfId="19" xr:uid="{74F766E8-A9B2-48DF-976B-A068D0A6F54B}"/>
    <cellStyle name="Milliers 8" xfId="11" xr:uid="{3E5D2E55-099A-435C-9837-2FEC1C86EDB1}"/>
    <cellStyle name="Milliers 9" xfId="20" xr:uid="{36B37213-7893-4D34-94EF-080233282259}"/>
    <cellStyle name="Normal" xfId="0" builtinId="0"/>
    <cellStyle name="Normal 2 2" xfId="21" xr:uid="{309B3B5B-058E-45AC-816C-4973A0FCDB0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ownloads\DPFC_BUDGET%20GLOBAL%20DES%20ATELIERS%20DE%20REVISION%20DES%20MANUELS_CE1-CE2_version%20finale10112024.xlsx" TargetMode="External"/><Relationship Id="rId1" Type="http://schemas.openxmlformats.org/officeDocument/2006/relationships/externalLinkPath" Target="file:///C:\Users\LENOVO\Downloads\DPFC_BUDGET%20GLOBAL%20DES%20ATELIERS%20DE%20REVISION%20DES%20MANUELS_CE1-CE2_version%20finale101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dget Revision manuels CE "/>
      <sheetName val="Recap"/>
    </sheetNames>
    <sheetDataSet>
      <sheetData sheetId="0">
        <row r="65">
          <cell r="H65">
            <v>80311865</v>
          </cell>
        </row>
        <row r="90">
          <cell r="H90">
            <v>2666400</v>
          </cell>
        </row>
        <row r="97">
          <cell r="H97">
            <v>26483796</v>
          </cell>
        </row>
        <row r="119">
          <cell r="H119">
            <v>2424000</v>
          </cell>
        </row>
        <row r="126">
          <cell r="H126">
            <v>5050000</v>
          </cell>
        </row>
        <row r="132">
          <cell r="H132">
            <v>5050000</v>
          </cell>
        </row>
      </sheetData>
      <sheetData sheetId="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44988-ECDF-465C-903C-AF5D316E51BF}">
  <dimension ref="A1:CC808"/>
  <sheetViews>
    <sheetView tabSelected="1" zoomScale="84" zoomScaleNormal="84" workbookViewId="0">
      <pane xSplit="2" ySplit="4" topLeftCell="I149" activePane="bottomRight" state="frozen"/>
      <selection pane="topRight" activeCell="C1" sqref="C1"/>
      <selection pane="bottomLeft" activeCell="A5" sqref="A5"/>
      <selection pane="bottomRight" activeCell="A178" sqref="A157:XFD178"/>
    </sheetView>
  </sheetViews>
  <sheetFormatPr baseColWidth="10" defaultColWidth="10.81640625" defaultRowHeight="18" x14ac:dyDescent="0.35"/>
  <cols>
    <col min="1" max="1" width="6.26953125" style="69" customWidth="1"/>
    <col min="2" max="2" width="83.26953125" style="201" customWidth="1"/>
    <col min="3" max="3" width="16.453125" style="24" customWidth="1"/>
    <col min="4" max="4" width="9.81640625" style="24" customWidth="1"/>
    <col min="5" max="5" width="16.453125" style="24" customWidth="1"/>
    <col min="6" max="7" width="16.453125" style="18" customWidth="1"/>
    <col min="8" max="8" width="16.453125" style="202" customWidth="1"/>
    <col min="9" max="9" width="13.81640625" style="202" customWidth="1"/>
    <col min="10" max="10" width="13.54296875" style="24" customWidth="1"/>
    <col min="11" max="11" width="10.36328125" style="24" customWidth="1"/>
    <col min="12" max="12" width="15.453125" style="16" customWidth="1"/>
    <col min="13" max="13" width="13.81640625" style="202" customWidth="1"/>
    <col min="14" max="14" width="8.81640625" style="24" customWidth="1"/>
    <col min="15" max="15" width="9.6328125" style="24" bestFit="1" customWidth="1"/>
    <col min="16" max="16" width="15.08984375" style="16" customWidth="1"/>
    <col min="17" max="17" width="16.1796875" style="19" customWidth="1"/>
    <col min="18" max="18" width="9.81640625" style="24" customWidth="1"/>
    <col min="19" max="19" width="15.54296875" style="24" customWidth="1"/>
    <col min="20" max="20" width="9" style="24" bestFit="1" customWidth="1"/>
    <col min="21" max="22" width="15.7265625" style="203" customWidth="1"/>
    <col min="23" max="23" width="6" style="4" hidden="1" customWidth="1"/>
    <col min="24" max="24" width="7.08984375" style="4" hidden="1" customWidth="1"/>
    <col min="25" max="26" width="7.54296875" style="4" hidden="1" customWidth="1"/>
    <col min="27" max="27" width="6.81640625" style="4" hidden="1" customWidth="1"/>
    <col min="28" max="28" width="7.81640625" style="4" hidden="1" customWidth="1"/>
    <col min="29" max="29" width="6.08984375" style="4" hidden="1" customWidth="1"/>
    <col min="30" max="30" width="6.81640625" style="4" hidden="1" customWidth="1"/>
    <col min="31" max="31" width="8.1796875" style="4" hidden="1" customWidth="1"/>
    <col min="32" max="32" width="7.1796875" style="4" hidden="1" customWidth="1"/>
    <col min="33" max="33" width="6.36328125" style="4" hidden="1" customWidth="1"/>
    <col min="34" max="34" width="7.81640625" style="4" hidden="1" customWidth="1"/>
    <col min="35" max="35" width="0.90625" style="4" customWidth="1"/>
    <col min="36" max="36" width="32.08984375" style="10" hidden="1" customWidth="1"/>
    <col min="37" max="37" width="14.36328125" style="5" hidden="1" customWidth="1"/>
    <col min="38" max="38" width="14.6328125" style="5" hidden="1" customWidth="1"/>
    <col min="39" max="46" width="13" style="4" hidden="1" customWidth="1"/>
    <col min="47" max="47" width="14.6328125" style="4" hidden="1" customWidth="1"/>
    <col min="48" max="48" width="11.90625" style="4" hidden="1" customWidth="1"/>
    <col min="49" max="49" width="14.6328125" style="4" bestFit="1" customWidth="1"/>
    <col min="50" max="261" width="10.81640625" style="4"/>
    <col min="262" max="262" width="5.1796875" style="4" bestFit="1" customWidth="1"/>
    <col min="263" max="263" width="60.1796875" style="4" customWidth="1"/>
    <col min="264" max="264" width="16.453125" style="4" customWidth="1"/>
    <col min="265" max="265" width="10.36328125" style="4" customWidth="1"/>
    <col min="266" max="266" width="6.81640625" style="4" customWidth="1"/>
    <col min="267" max="267" width="8.1796875" style="4" customWidth="1"/>
    <col min="268" max="268" width="13.81640625" style="4" customWidth="1"/>
    <col min="269" max="269" width="19.08984375" style="4" bestFit="1" customWidth="1"/>
    <col min="270" max="270" width="15.1796875" style="4" bestFit="1" customWidth="1"/>
    <col min="271" max="271" width="15.54296875" style="4" customWidth="1"/>
    <col min="272" max="273" width="13.1796875" style="4" customWidth="1"/>
    <col min="274" max="285" width="0" style="4" hidden="1" customWidth="1"/>
    <col min="286" max="517" width="10.81640625" style="4"/>
    <col min="518" max="518" width="5.1796875" style="4" bestFit="1" customWidth="1"/>
    <col min="519" max="519" width="60.1796875" style="4" customWidth="1"/>
    <col min="520" max="520" width="16.453125" style="4" customWidth="1"/>
    <col min="521" max="521" width="10.36328125" style="4" customWidth="1"/>
    <col min="522" max="522" width="6.81640625" style="4" customWidth="1"/>
    <col min="523" max="523" width="8.1796875" style="4" customWidth="1"/>
    <col min="524" max="524" width="13.81640625" style="4" customWidth="1"/>
    <col min="525" max="525" width="19.08984375" style="4" bestFit="1" customWidth="1"/>
    <col min="526" max="526" width="15.1796875" style="4" bestFit="1" customWidth="1"/>
    <col min="527" max="527" width="15.54296875" style="4" customWidth="1"/>
    <col min="528" max="529" width="13.1796875" style="4" customWidth="1"/>
    <col min="530" max="541" width="0" style="4" hidden="1" customWidth="1"/>
    <col min="542" max="773" width="10.81640625" style="4"/>
    <col min="774" max="774" width="5.1796875" style="4" bestFit="1" customWidth="1"/>
    <col min="775" max="775" width="60.1796875" style="4" customWidth="1"/>
    <col min="776" max="776" width="16.453125" style="4" customWidth="1"/>
    <col min="777" max="777" width="10.36328125" style="4" customWidth="1"/>
    <col min="778" max="778" width="6.81640625" style="4" customWidth="1"/>
    <col min="779" max="779" width="8.1796875" style="4" customWidth="1"/>
    <col min="780" max="780" width="13.81640625" style="4" customWidth="1"/>
    <col min="781" max="781" width="19.08984375" style="4" bestFit="1" customWidth="1"/>
    <col min="782" max="782" width="15.1796875" style="4" bestFit="1" customWidth="1"/>
    <col min="783" max="783" width="15.54296875" style="4" customWidth="1"/>
    <col min="784" max="785" width="13.1796875" style="4" customWidth="1"/>
    <col min="786" max="797" width="0" style="4" hidden="1" customWidth="1"/>
    <col min="798" max="1029" width="10.81640625" style="4"/>
    <col min="1030" max="1030" width="5.1796875" style="4" bestFit="1" customWidth="1"/>
    <col min="1031" max="1031" width="60.1796875" style="4" customWidth="1"/>
    <col min="1032" max="1032" width="16.453125" style="4" customWidth="1"/>
    <col min="1033" max="1033" width="10.36328125" style="4" customWidth="1"/>
    <col min="1034" max="1034" width="6.81640625" style="4" customWidth="1"/>
    <col min="1035" max="1035" width="8.1796875" style="4" customWidth="1"/>
    <col min="1036" max="1036" width="13.81640625" style="4" customWidth="1"/>
    <col min="1037" max="1037" width="19.08984375" style="4" bestFit="1" customWidth="1"/>
    <col min="1038" max="1038" width="15.1796875" style="4" bestFit="1" customWidth="1"/>
    <col min="1039" max="1039" width="15.54296875" style="4" customWidth="1"/>
    <col min="1040" max="1041" width="13.1796875" style="4" customWidth="1"/>
    <col min="1042" max="1053" width="0" style="4" hidden="1" customWidth="1"/>
    <col min="1054" max="1285" width="10.81640625" style="4"/>
    <col min="1286" max="1286" width="5.1796875" style="4" bestFit="1" customWidth="1"/>
    <col min="1287" max="1287" width="60.1796875" style="4" customWidth="1"/>
    <col min="1288" max="1288" width="16.453125" style="4" customWidth="1"/>
    <col min="1289" max="1289" width="10.36328125" style="4" customWidth="1"/>
    <col min="1290" max="1290" width="6.81640625" style="4" customWidth="1"/>
    <col min="1291" max="1291" width="8.1796875" style="4" customWidth="1"/>
    <col min="1292" max="1292" width="13.81640625" style="4" customWidth="1"/>
    <col min="1293" max="1293" width="19.08984375" style="4" bestFit="1" customWidth="1"/>
    <col min="1294" max="1294" width="15.1796875" style="4" bestFit="1" customWidth="1"/>
    <col min="1295" max="1295" width="15.54296875" style="4" customWidth="1"/>
    <col min="1296" max="1297" width="13.1796875" style="4" customWidth="1"/>
    <col min="1298" max="1309" width="0" style="4" hidden="1" customWidth="1"/>
    <col min="1310" max="1541" width="10.81640625" style="4"/>
    <col min="1542" max="1542" width="5.1796875" style="4" bestFit="1" customWidth="1"/>
    <col min="1543" max="1543" width="60.1796875" style="4" customWidth="1"/>
    <col min="1544" max="1544" width="16.453125" style="4" customWidth="1"/>
    <col min="1545" max="1545" width="10.36328125" style="4" customWidth="1"/>
    <col min="1546" max="1546" width="6.81640625" style="4" customWidth="1"/>
    <col min="1547" max="1547" width="8.1796875" style="4" customWidth="1"/>
    <col min="1548" max="1548" width="13.81640625" style="4" customWidth="1"/>
    <col min="1549" max="1549" width="19.08984375" style="4" bestFit="1" customWidth="1"/>
    <col min="1550" max="1550" width="15.1796875" style="4" bestFit="1" customWidth="1"/>
    <col min="1551" max="1551" width="15.54296875" style="4" customWidth="1"/>
    <col min="1552" max="1553" width="13.1796875" style="4" customWidth="1"/>
    <col min="1554" max="1565" width="0" style="4" hidden="1" customWidth="1"/>
    <col min="1566" max="1797" width="10.81640625" style="4"/>
    <col min="1798" max="1798" width="5.1796875" style="4" bestFit="1" customWidth="1"/>
    <col min="1799" max="1799" width="60.1796875" style="4" customWidth="1"/>
    <col min="1800" max="1800" width="16.453125" style="4" customWidth="1"/>
    <col min="1801" max="1801" width="10.36328125" style="4" customWidth="1"/>
    <col min="1802" max="1802" width="6.81640625" style="4" customWidth="1"/>
    <col min="1803" max="1803" width="8.1796875" style="4" customWidth="1"/>
    <col min="1804" max="1804" width="13.81640625" style="4" customWidth="1"/>
    <col min="1805" max="1805" width="19.08984375" style="4" bestFit="1" customWidth="1"/>
    <col min="1806" max="1806" width="15.1796875" style="4" bestFit="1" customWidth="1"/>
    <col min="1807" max="1807" width="15.54296875" style="4" customWidth="1"/>
    <col min="1808" max="1809" width="13.1796875" style="4" customWidth="1"/>
    <col min="1810" max="1821" width="0" style="4" hidden="1" customWidth="1"/>
    <col min="1822" max="2053" width="10.81640625" style="4"/>
    <col min="2054" max="2054" width="5.1796875" style="4" bestFit="1" customWidth="1"/>
    <col min="2055" max="2055" width="60.1796875" style="4" customWidth="1"/>
    <col min="2056" max="2056" width="16.453125" style="4" customWidth="1"/>
    <col min="2057" max="2057" width="10.36328125" style="4" customWidth="1"/>
    <col min="2058" max="2058" width="6.81640625" style="4" customWidth="1"/>
    <col min="2059" max="2059" width="8.1796875" style="4" customWidth="1"/>
    <col min="2060" max="2060" width="13.81640625" style="4" customWidth="1"/>
    <col min="2061" max="2061" width="19.08984375" style="4" bestFit="1" customWidth="1"/>
    <col min="2062" max="2062" width="15.1796875" style="4" bestFit="1" customWidth="1"/>
    <col min="2063" max="2063" width="15.54296875" style="4" customWidth="1"/>
    <col min="2064" max="2065" width="13.1796875" style="4" customWidth="1"/>
    <col min="2066" max="2077" width="0" style="4" hidden="1" customWidth="1"/>
    <col min="2078" max="2309" width="10.81640625" style="4"/>
    <col min="2310" max="2310" width="5.1796875" style="4" bestFit="1" customWidth="1"/>
    <col min="2311" max="2311" width="60.1796875" style="4" customWidth="1"/>
    <col min="2312" max="2312" width="16.453125" style="4" customWidth="1"/>
    <col min="2313" max="2313" width="10.36328125" style="4" customWidth="1"/>
    <col min="2314" max="2314" width="6.81640625" style="4" customWidth="1"/>
    <col min="2315" max="2315" width="8.1796875" style="4" customWidth="1"/>
    <col min="2316" max="2316" width="13.81640625" style="4" customWidth="1"/>
    <col min="2317" max="2317" width="19.08984375" style="4" bestFit="1" customWidth="1"/>
    <col min="2318" max="2318" width="15.1796875" style="4" bestFit="1" customWidth="1"/>
    <col min="2319" max="2319" width="15.54296875" style="4" customWidth="1"/>
    <col min="2320" max="2321" width="13.1796875" style="4" customWidth="1"/>
    <col min="2322" max="2333" width="0" style="4" hidden="1" customWidth="1"/>
    <col min="2334" max="2565" width="10.81640625" style="4"/>
    <col min="2566" max="2566" width="5.1796875" style="4" bestFit="1" customWidth="1"/>
    <col min="2567" max="2567" width="60.1796875" style="4" customWidth="1"/>
    <col min="2568" max="2568" width="16.453125" style="4" customWidth="1"/>
    <col min="2569" max="2569" width="10.36328125" style="4" customWidth="1"/>
    <col min="2570" max="2570" width="6.81640625" style="4" customWidth="1"/>
    <col min="2571" max="2571" width="8.1796875" style="4" customWidth="1"/>
    <col min="2572" max="2572" width="13.81640625" style="4" customWidth="1"/>
    <col min="2573" max="2573" width="19.08984375" style="4" bestFit="1" customWidth="1"/>
    <col min="2574" max="2574" width="15.1796875" style="4" bestFit="1" customWidth="1"/>
    <col min="2575" max="2575" width="15.54296875" style="4" customWidth="1"/>
    <col min="2576" max="2577" width="13.1796875" style="4" customWidth="1"/>
    <col min="2578" max="2589" width="0" style="4" hidden="1" customWidth="1"/>
    <col min="2590" max="2821" width="10.81640625" style="4"/>
    <col min="2822" max="2822" width="5.1796875" style="4" bestFit="1" customWidth="1"/>
    <col min="2823" max="2823" width="60.1796875" style="4" customWidth="1"/>
    <col min="2824" max="2824" width="16.453125" style="4" customWidth="1"/>
    <col min="2825" max="2825" width="10.36328125" style="4" customWidth="1"/>
    <col min="2826" max="2826" width="6.81640625" style="4" customWidth="1"/>
    <col min="2827" max="2827" width="8.1796875" style="4" customWidth="1"/>
    <col min="2828" max="2828" width="13.81640625" style="4" customWidth="1"/>
    <col min="2829" max="2829" width="19.08984375" style="4" bestFit="1" customWidth="1"/>
    <col min="2830" max="2830" width="15.1796875" style="4" bestFit="1" customWidth="1"/>
    <col min="2831" max="2831" width="15.54296875" style="4" customWidth="1"/>
    <col min="2832" max="2833" width="13.1796875" style="4" customWidth="1"/>
    <col min="2834" max="2845" width="0" style="4" hidden="1" customWidth="1"/>
    <col min="2846" max="3077" width="10.81640625" style="4"/>
    <col min="3078" max="3078" width="5.1796875" style="4" bestFit="1" customWidth="1"/>
    <col min="3079" max="3079" width="60.1796875" style="4" customWidth="1"/>
    <col min="3080" max="3080" width="16.453125" style="4" customWidth="1"/>
    <col min="3081" max="3081" width="10.36328125" style="4" customWidth="1"/>
    <col min="3082" max="3082" width="6.81640625" style="4" customWidth="1"/>
    <col min="3083" max="3083" width="8.1796875" style="4" customWidth="1"/>
    <col min="3084" max="3084" width="13.81640625" style="4" customWidth="1"/>
    <col min="3085" max="3085" width="19.08984375" style="4" bestFit="1" customWidth="1"/>
    <col min="3086" max="3086" width="15.1796875" style="4" bestFit="1" customWidth="1"/>
    <col min="3087" max="3087" width="15.54296875" style="4" customWidth="1"/>
    <col min="3088" max="3089" width="13.1796875" style="4" customWidth="1"/>
    <col min="3090" max="3101" width="0" style="4" hidden="1" customWidth="1"/>
    <col min="3102" max="3333" width="10.81640625" style="4"/>
    <col min="3334" max="3334" width="5.1796875" style="4" bestFit="1" customWidth="1"/>
    <col min="3335" max="3335" width="60.1796875" style="4" customWidth="1"/>
    <col min="3336" max="3336" width="16.453125" style="4" customWidth="1"/>
    <col min="3337" max="3337" width="10.36328125" style="4" customWidth="1"/>
    <col min="3338" max="3338" width="6.81640625" style="4" customWidth="1"/>
    <col min="3339" max="3339" width="8.1796875" style="4" customWidth="1"/>
    <col min="3340" max="3340" width="13.81640625" style="4" customWidth="1"/>
    <col min="3341" max="3341" width="19.08984375" style="4" bestFit="1" customWidth="1"/>
    <col min="3342" max="3342" width="15.1796875" style="4" bestFit="1" customWidth="1"/>
    <col min="3343" max="3343" width="15.54296875" style="4" customWidth="1"/>
    <col min="3344" max="3345" width="13.1796875" style="4" customWidth="1"/>
    <col min="3346" max="3357" width="0" style="4" hidden="1" customWidth="1"/>
    <col min="3358" max="3589" width="10.81640625" style="4"/>
    <col min="3590" max="3590" width="5.1796875" style="4" bestFit="1" customWidth="1"/>
    <col min="3591" max="3591" width="60.1796875" style="4" customWidth="1"/>
    <col min="3592" max="3592" width="16.453125" style="4" customWidth="1"/>
    <col min="3593" max="3593" width="10.36328125" style="4" customWidth="1"/>
    <col min="3594" max="3594" width="6.81640625" style="4" customWidth="1"/>
    <col min="3595" max="3595" width="8.1796875" style="4" customWidth="1"/>
    <col min="3596" max="3596" width="13.81640625" style="4" customWidth="1"/>
    <col min="3597" max="3597" width="19.08984375" style="4" bestFit="1" customWidth="1"/>
    <col min="3598" max="3598" width="15.1796875" style="4" bestFit="1" customWidth="1"/>
    <col min="3599" max="3599" width="15.54296875" style="4" customWidth="1"/>
    <col min="3600" max="3601" width="13.1796875" style="4" customWidth="1"/>
    <col min="3602" max="3613" width="0" style="4" hidden="1" customWidth="1"/>
    <col min="3614" max="3845" width="10.81640625" style="4"/>
    <col min="3846" max="3846" width="5.1796875" style="4" bestFit="1" customWidth="1"/>
    <col min="3847" max="3847" width="60.1796875" style="4" customWidth="1"/>
    <col min="3848" max="3848" width="16.453125" style="4" customWidth="1"/>
    <col min="3849" max="3849" width="10.36328125" style="4" customWidth="1"/>
    <col min="3850" max="3850" width="6.81640625" style="4" customWidth="1"/>
    <col min="3851" max="3851" width="8.1796875" style="4" customWidth="1"/>
    <col min="3852" max="3852" width="13.81640625" style="4" customWidth="1"/>
    <col min="3853" max="3853" width="19.08984375" style="4" bestFit="1" customWidth="1"/>
    <col min="3854" max="3854" width="15.1796875" style="4" bestFit="1" customWidth="1"/>
    <col min="3855" max="3855" width="15.54296875" style="4" customWidth="1"/>
    <col min="3856" max="3857" width="13.1796875" style="4" customWidth="1"/>
    <col min="3858" max="3869" width="0" style="4" hidden="1" customWidth="1"/>
    <col min="3870" max="4101" width="10.81640625" style="4"/>
    <col min="4102" max="4102" width="5.1796875" style="4" bestFit="1" customWidth="1"/>
    <col min="4103" max="4103" width="60.1796875" style="4" customWidth="1"/>
    <col min="4104" max="4104" width="16.453125" style="4" customWidth="1"/>
    <col min="4105" max="4105" width="10.36328125" style="4" customWidth="1"/>
    <col min="4106" max="4106" width="6.81640625" style="4" customWidth="1"/>
    <col min="4107" max="4107" width="8.1796875" style="4" customWidth="1"/>
    <col min="4108" max="4108" width="13.81640625" style="4" customWidth="1"/>
    <col min="4109" max="4109" width="19.08984375" style="4" bestFit="1" customWidth="1"/>
    <col min="4110" max="4110" width="15.1796875" style="4" bestFit="1" customWidth="1"/>
    <col min="4111" max="4111" width="15.54296875" style="4" customWidth="1"/>
    <col min="4112" max="4113" width="13.1796875" style="4" customWidth="1"/>
    <col min="4114" max="4125" width="0" style="4" hidden="1" customWidth="1"/>
    <col min="4126" max="4357" width="10.81640625" style="4"/>
    <col min="4358" max="4358" width="5.1796875" style="4" bestFit="1" customWidth="1"/>
    <col min="4359" max="4359" width="60.1796875" style="4" customWidth="1"/>
    <col min="4360" max="4360" width="16.453125" style="4" customWidth="1"/>
    <col min="4361" max="4361" width="10.36328125" style="4" customWidth="1"/>
    <col min="4362" max="4362" width="6.81640625" style="4" customWidth="1"/>
    <col min="4363" max="4363" width="8.1796875" style="4" customWidth="1"/>
    <col min="4364" max="4364" width="13.81640625" style="4" customWidth="1"/>
    <col min="4365" max="4365" width="19.08984375" style="4" bestFit="1" customWidth="1"/>
    <col min="4366" max="4366" width="15.1796875" style="4" bestFit="1" customWidth="1"/>
    <col min="4367" max="4367" width="15.54296875" style="4" customWidth="1"/>
    <col min="4368" max="4369" width="13.1796875" style="4" customWidth="1"/>
    <col min="4370" max="4381" width="0" style="4" hidden="1" customWidth="1"/>
    <col min="4382" max="4613" width="10.81640625" style="4"/>
    <col min="4614" max="4614" width="5.1796875" style="4" bestFit="1" customWidth="1"/>
    <col min="4615" max="4615" width="60.1796875" style="4" customWidth="1"/>
    <col min="4616" max="4616" width="16.453125" style="4" customWidth="1"/>
    <col min="4617" max="4617" width="10.36328125" style="4" customWidth="1"/>
    <col min="4618" max="4618" width="6.81640625" style="4" customWidth="1"/>
    <col min="4619" max="4619" width="8.1796875" style="4" customWidth="1"/>
    <col min="4620" max="4620" width="13.81640625" style="4" customWidth="1"/>
    <col min="4621" max="4621" width="19.08984375" style="4" bestFit="1" customWidth="1"/>
    <col min="4622" max="4622" width="15.1796875" style="4" bestFit="1" customWidth="1"/>
    <col min="4623" max="4623" width="15.54296875" style="4" customWidth="1"/>
    <col min="4624" max="4625" width="13.1796875" style="4" customWidth="1"/>
    <col min="4626" max="4637" width="0" style="4" hidden="1" customWidth="1"/>
    <col min="4638" max="4869" width="10.81640625" style="4"/>
    <col min="4870" max="4870" width="5.1796875" style="4" bestFit="1" customWidth="1"/>
    <col min="4871" max="4871" width="60.1796875" style="4" customWidth="1"/>
    <col min="4872" max="4872" width="16.453125" style="4" customWidth="1"/>
    <col min="4873" max="4873" width="10.36328125" style="4" customWidth="1"/>
    <col min="4874" max="4874" width="6.81640625" style="4" customWidth="1"/>
    <col min="4875" max="4875" width="8.1796875" style="4" customWidth="1"/>
    <col min="4876" max="4876" width="13.81640625" style="4" customWidth="1"/>
    <col min="4877" max="4877" width="19.08984375" style="4" bestFit="1" customWidth="1"/>
    <col min="4878" max="4878" width="15.1796875" style="4" bestFit="1" customWidth="1"/>
    <col min="4879" max="4879" width="15.54296875" style="4" customWidth="1"/>
    <col min="4880" max="4881" width="13.1796875" style="4" customWidth="1"/>
    <col min="4882" max="4893" width="0" style="4" hidden="1" customWidth="1"/>
    <col min="4894" max="5125" width="10.81640625" style="4"/>
    <col min="5126" max="5126" width="5.1796875" style="4" bestFit="1" customWidth="1"/>
    <col min="5127" max="5127" width="60.1796875" style="4" customWidth="1"/>
    <col min="5128" max="5128" width="16.453125" style="4" customWidth="1"/>
    <col min="5129" max="5129" width="10.36328125" style="4" customWidth="1"/>
    <col min="5130" max="5130" width="6.81640625" style="4" customWidth="1"/>
    <col min="5131" max="5131" width="8.1796875" style="4" customWidth="1"/>
    <col min="5132" max="5132" width="13.81640625" style="4" customWidth="1"/>
    <col min="5133" max="5133" width="19.08984375" style="4" bestFit="1" customWidth="1"/>
    <col min="5134" max="5134" width="15.1796875" style="4" bestFit="1" customWidth="1"/>
    <col min="5135" max="5135" width="15.54296875" style="4" customWidth="1"/>
    <col min="5136" max="5137" width="13.1796875" style="4" customWidth="1"/>
    <col min="5138" max="5149" width="0" style="4" hidden="1" customWidth="1"/>
    <col min="5150" max="5381" width="10.81640625" style="4"/>
    <col min="5382" max="5382" width="5.1796875" style="4" bestFit="1" customWidth="1"/>
    <col min="5383" max="5383" width="60.1796875" style="4" customWidth="1"/>
    <col min="5384" max="5384" width="16.453125" style="4" customWidth="1"/>
    <col min="5385" max="5385" width="10.36328125" style="4" customWidth="1"/>
    <col min="5386" max="5386" width="6.81640625" style="4" customWidth="1"/>
    <col min="5387" max="5387" width="8.1796875" style="4" customWidth="1"/>
    <col min="5388" max="5388" width="13.81640625" style="4" customWidth="1"/>
    <col min="5389" max="5389" width="19.08984375" style="4" bestFit="1" customWidth="1"/>
    <col min="5390" max="5390" width="15.1796875" style="4" bestFit="1" customWidth="1"/>
    <col min="5391" max="5391" width="15.54296875" style="4" customWidth="1"/>
    <col min="5392" max="5393" width="13.1796875" style="4" customWidth="1"/>
    <col min="5394" max="5405" width="0" style="4" hidden="1" customWidth="1"/>
    <col min="5406" max="5637" width="10.81640625" style="4"/>
    <col min="5638" max="5638" width="5.1796875" style="4" bestFit="1" customWidth="1"/>
    <col min="5639" max="5639" width="60.1796875" style="4" customWidth="1"/>
    <col min="5640" max="5640" width="16.453125" style="4" customWidth="1"/>
    <col min="5641" max="5641" width="10.36328125" style="4" customWidth="1"/>
    <col min="5642" max="5642" width="6.81640625" style="4" customWidth="1"/>
    <col min="5643" max="5643" width="8.1796875" style="4" customWidth="1"/>
    <col min="5644" max="5644" width="13.81640625" style="4" customWidth="1"/>
    <col min="5645" max="5645" width="19.08984375" style="4" bestFit="1" customWidth="1"/>
    <col min="5646" max="5646" width="15.1796875" style="4" bestFit="1" customWidth="1"/>
    <col min="5647" max="5647" width="15.54296875" style="4" customWidth="1"/>
    <col min="5648" max="5649" width="13.1796875" style="4" customWidth="1"/>
    <col min="5650" max="5661" width="0" style="4" hidden="1" customWidth="1"/>
    <col min="5662" max="5893" width="10.81640625" style="4"/>
    <col min="5894" max="5894" width="5.1796875" style="4" bestFit="1" customWidth="1"/>
    <col min="5895" max="5895" width="60.1796875" style="4" customWidth="1"/>
    <col min="5896" max="5896" width="16.453125" style="4" customWidth="1"/>
    <col min="5897" max="5897" width="10.36328125" style="4" customWidth="1"/>
    <col min="5898" max="5898" width="6.81640625" style="4" customWidth="1"/>
    <col min="5899" max="5899" width="8.1796875" style="4" customWidth="1"/>
    <col min="5900" max="5900" width="13.81640625" style="4" customWidth="1"/>
    <col min="5901" max="5901" width="19.08984375" style="4" bestFit="1" customWidth="1"/>
    <col min="5902" max="5902" width="15.1796875" style="4" bestFit="1" customWidth="1"/>
    <col min="5903" max="5903" width="15.54296875" style="4" customWidth="1"/>
    <col min="5904" max="5905" width="13.1796875" style="4" customWidth="1"/>
    <col min="5906" max="5917" width="0" style="4" hidden="1" customWidth="1"/>
    <col min="5918" max="6149" width="10.81640625" style="4"/>
    <col min="6150" max="6150" width="5.1796875" style="4" bestFit="1" customWidth="1"/>
    <col min="6151" max="6151" width="60.1796875" style="4" customWidth="1"/>
    <col min="6152" max="6152" width="16.453125" style="4" customWidth="1"/>
    <col min="6153" max="6153" width="10.36328125" style="4" customWidth="1"/>
    <col min="6154" max="6154" width="6.81640625" style="4" customWidth="1"/>
    <col min="6155" max="6155" width="8.1796875" style="4" customWidth="1"/>
    <col min="6156" max="6156" width="13.81640625" style="4" customWidth="1"/>
    <col min="6157" max="6157" width="19.08984375" style="4" bestFit="1" customWidth="1"/>
    <col min="6158" max="6158" width="15.1796875" style="4" bestFit="1" customWidth="1"/>
    <col min="6159" max="6159" width="15.54296875" style="4" customWidth="1"/>
    <col min="6160" max="6161" width="13.1796875" style="4" customWidth="1"/>
    <col min="6162" max="6173" width="0" style="4" hidden="1" customWidth="1"/>
    <col min="6174" max="6405" width="10.81640625" style="4"/>
    <col min="6406" max="6406" width="5.1796875" style="4" bestFit="1" customWidth="1"/>
    <col min="6407" max="6407" width="60.1796875" style="4" customWidth="1"/>
    <col min="6408" max="6408" width="16.453125" style="4" customWidth="1"/>
    <col min="6409" max="6409" width="10.36328125" style="4" customWidth="1"/>
    <col min="6410" max="6410" width="6.81640625" style="4" customWidth="1"/>
    <col min="6411" max="6411" width="8.1796875" style="4" customWidth="1"/>
    <col min="6412" max="6412" width="13.81640625" style="4" customWidth="1"/>
    <col min="6413" max="6413" width="19.08984375" style="4" bestFit="1" customWidth="1"/>
    <col min="6414" max="6414" width="15.1796875" style="4" bestFit="1" customWidth="1"/>
    <col min="6415" max="6415" width="15.54296875" style="4" customWidth="1"/>
    <col min="6416" max="6417" width="13.1796875" style="4" customWidth="1"/>
    <col min="6418" max="6429" width="0" style="4" hidden="1" customWidth="1"/>
    <col min="6430" max="6661" width="10.81640625" style="4"/>
    <col min="6662" max="6662" width="5.1796875" style="4" bestFit="1" customWidth="1"/>
    <col min="6663" max="6663" width="60.1796875" style="4" customWidth="1"/>
    <col min="6664" max="6664" width="16.453125" style="4" customWidth="1"/>
    <col min="6665" max="6665" width="10.36328125" style="4" customWidth="1"/>
    <col min="6666" max="6666" width="6.81640625" style="4" customWidth="1"/>
    <col min="6667" max="6667" width="8.1796875" style="4" customWidth="1"/>
    <col min="6668" max="6668" width="13.81640625" style="4" customWidth="1"/>
    <col min="6669" max="6669" width="19.08984375" style="4" bestFit="1" customWidth="1"/>
    <col min="6670" max="6670" width="15.1796875" style="4" bestFit="1" customWidth="1"/>
    <col min="6671" max="6671" width="15.54296875" style="4" customWidth="1"/>
    <col min="6672" max="6673" width="13.1796875" style="4" customWidth="1"/>
    <col min="6674" max="6685" width="0" style="4" hidden="1" customWidth="1"/>
    <col min="6686" max="6917" width="10.81640625" style="4"/>
    <col min="6918" max="6918" width="5.1796875" style="4" bestFit="1" customWidth="1"/>
    <col min="6919" max="6919" width="60.1796875" style="4" customWidth="1"/>
    <col min="6920" max="6920" width="16.453125" style="4" customWidth="1"/>
    <col min="6921" max="6921" width="10.36328125" style="4" customWidth="1"/>
    <col min="6922" max="6922" width="6.81640625" style="4" customWidth="1"/>
    <col min="6923" max="6923" width="8.1796875" style="4" customWidth="1"/>
    <col min="6924" max="6924" width="13.81640625" style="4" customWidth="1"/>
    <col min="6925" max="6925" width="19.08984375" style="4" bestFit="1" customWidth="1"/>
    <col min="6926" max="6926" width="15.1796875" style="4" bestFit="1" customWidth="1"/>
    <col min="6927" max="6927" width="15.54296875" style="4" customWidth="1"/>
    <col min="6928" max="6929" width="13.1796875" style="4" customWidth="1"/>
    <col min="6930" max="6941" width="0" style="4" hidden="1" customWidth="1"/>
    <col min="6942" max="7173" width="10.81640625" style="4"/>
    <col min="7174" max="7174" width="5.1796875" style="4" bestFit="1" customWidth="1"/>
    <col min="7175" max="7175" width="60.1796875" style="4" customWidth="1"/>
    <col min="7176" max="7176" width="16.453125" style="4" customWidth="1"/>
    <col min="7177" max="7177" width="10.36328125" style="4" customWidth="1"/>
    <col min="7178" max="7178" width="6.81640625" style="4" customWidth="1"/>
    <col min="7179" max="7179" width="8.1796875" style="4" customWidth="1"/>
    <col min="7180" max="7180" width="13.81640625" style="4" customWidth="1"/>
    <col min="7181" max="7181" width="19.08984375" style="4" bestFit="1" customWidth="1"/>
    <col min="7182" max="7182" width="15.1796875" style="4" bestFit="1" customWidth="1"/>
    <col min="7183" max="7183" width="15.54296875" style="4" customWidth="1"/>
    <col min="7184" max="7185" width="13.1796875" style="4" customWidth="1"/>
    <col min="7186" max="7197" width="0" style="4" hidden="1" customWidth="1"/>
    <col min="7198" max="7429" width="10.81640625" style="4"/>
    <col min="7430" max="7430" width="5.1796875" style="4" bestFit="1" customWidth="1"/>
    <col min="7431" max="7431" width="60.1796875" style="4" customWidth="1"/>
    <col min="7432" max="7432" width="16.453125" style="4" customWidth="1"/>
    <col min="7433" max="7433" width="10.36328125" style="4" customWidth="1"/>
    <col min="7434" max="7434" width="6.81640625" style="4" customWidth="1"/>
    <col min="7435" max="7435" width="8.1796875" style="4" customWidth="1"/>
    <col min="7436" max="7436" width="13.81640625" style="4" customWidth="1"/>
    <col min="7437" max="7437" width="19.08984375" style="4" bestFit="1" customWidth="1"/>
    <col min="7438" max="7438" width="15.1796875" style="4" bestFit="1" customWidth="1"/>
    <col min="7439" max="7439" width="15.54296875" style="4" customWidth="1"/>
    <col min="7440" max="7441" width="13.1796875" style="4" customWidth="1"/>
    <col min="7442" max="7453" width="0" style="4" hidden="1" customWidth="1"/>
    <col min="7454" max="7685" width="10.81640625" style="4"/>
    <col min="7686" max="7686" width="5.1796875" style="4" bestFit="1" customWidth="1"/>
    <col min="7687" max="7687" width="60.1796875" style="4" customWidth="1"/>
    <col min="7688" max="7688" width="16.453125" style="4" customWidth="1"/>
    <col min="7689" max="7689" width="10.36328125" style="4" customWidth="1"/>
    <col min="7690" max="7690" width="6.81640625" style="4" customWidth="1"/>
    <col min="7691" max="7691" width="8.1796875" style="4" customWidth="1"/>
    <col min="7692" max="7692" width="13.81640625" style="4" customWidth="1"/>
    <col min="7693" max="7693" width="19.08984375" style="4" bestFit="1" customWidth="1"/>
    <col min="7694" max="7694" width="15.1796875" style="4" bestFit="1" customWidth="1"/>
    <col min="7695" max="7695" width="15.54296875" style="4" customWidth="1"/>
    <col min="7696" max="7697" width="13.1796875" style="4" customWidth="1"/>
    <col min="7698" max="7709" width="0" style="4" hidden="1" customWidth="1"/>
    <col min="7710" max="7941" width="10.81640625" style="4"/>
    <col min="7942" max="7942" width="5.1796875" style="4" bestFit="1" customWidth="1"/>
    <col min="7943" max="7943" width="60.1796875" style="4" customWidth="1"/>
    <col min="7944" max="7944" width="16.453125" style="4" customWidth="1"/>
    <col min="7945" max="7945" width="10.36328125" style="4" customWidth="1"/>
    <col min="7946" max="7946" width="6.81640625" style="4" customWidth="1"/>
    <col min="7947" max="7947" width="8.1796875" style="4" customWidth="1"/>
    <col min="7948" max="7948" width="13.81640625" style="4" customWidth="1"/>
    <col min="7949" max="7949" width="19.08984375" style="4" bestFit="1" customWidth="1"/>
    <col min="7950" max="7950" width="15.1796875" style="4" bestFit="1" customWidth="1"/>
    <col min="7951" max="7951" width="15.54296875" style="4" customWidth="1"/>
    <col min="7952" max="7953" width="13.1796875" style="4" customWidth="1"/>
    <col min="7954" max="7965" width="0" style="4" hidden="1" customWidth="1"/>
    <col min="7966" max="8197" width="10.81640625" style="4"/>
    <col min="8198" max="8198" width="5.1796875" style="4" bestFit="1" customWidth="1"/>
    <col min="8199" max="8199" width="60.1796875" style="4" customWidth="1"/>
    <col min="8200" max="8200" width="16.453125" style="4" customWidth="1"/>
    <col min="8201" max="8201" width="10.36328125" style="4" customWidth="1"/>
    <col min="8202" max="8202" width="6.81640625" style="4" customWidth="1"/>
    <col min="8203" max="8203" width="8.1796875" style="4" customWidth="1"/>
    <col min="8204" max="8204" width="13.81640625" style="4" customWidth="1"/>
    <col min="8205" max="8205" width="19.08984375" style="4" bestFit="1" customWidth="1"/>
    <col min="8206" max="8206" width="15.1796875" style="4" bestFit="1" customWidth="1"/>
    <col min="8207" max="8207" width="15.54296875" style="4" customWidth="1"/>
    <col min="8208" max="8209" width="13.1796875" style="4" customWidth="1"/>
    <col min="8210" max="8221" width="0" style="4" hidden="1" customWidth="1"/>
    <col min="8222" max="8453" width="10.81640625" style="4"/>
    <col min="8454" max="8454" width="5.1796875" style="4" bestFit="1" customWidth="1"/>
    <col min="8455" max="8455" width="60.1796875" style="4" customWidth="1"/>
    <col min="8456" max="8456" width="16.453125" style="4" customWidth="1"/>
    <col min="8457" max="8457" width="10.36328125" style="4" customWidth="1"/>
    <col min="8458" max="8458" width="6.81640625" style="4" customWidth="1"/>
    <col min="8459" max="8459" width="8.1796875" style="4" customWidth="1"/>
    <col min="8460" max="8460" width="13.81640625" style="4" customWidth="1"/>
    <col min="8461" max="8461" width="19.08984375" style="4" bestFit="1" customWidth="1"/>
    <col min="8462" max="8462" width="15.1796875" style="4" bestFit="1" customWidth="1"/>
    <col min="8463" max="8463" width="15.54296875" style="4" customWidth="1"/>
    <col min="8464" max="8465" width="13.1796875" style="4" customWidth="1"/>
    <col min="8466" max="8477" width="0" style="4" hidden="1" customWidth="1"/>
    <col min="8478" max="8709" width="10.81640625" style="4"/>
    <col min="8710" max="8710" width="5.1796875" style="4" bestFit="1" customWidth="1"/>
    <col min="8711" max="8711" width="60.1796875" style="4" customWidth="1"/>
    <col min="8712" max="8712" width="16.453125" style="4" customWidth="1"/>
    <col min="8713" max="8713" width="10.36328125" style="4" customWidth="1"/>
    <col min="8714" max="8714" width="6.81640625" style="4" customWidth="1"/>
    <col min="8715" max="8715" width="8.1796875" style="4" customWidth="1"/>
    <col min="8716" max="8716" width="13.81640625" style="4" customWidth="1"/>
    <col min="8717" max="8717" width="19.08984375" style="4" bestFit="1" customWidth="1"/>
    <col min="8718" max="8718" width="15.1796875" style="4" bestFit="1" customWidth="1"/>
    <col min="8719" max="8719" width="15.54296875" style="4" customWidth="1"/>
    <col min="8720" max="8721" width="13.1796875" style="4" customWidth="1"/>
    <col min="8722" max="8733" width="0" style="4" hidden="1" customWidth="1"/>
    <col min="8734" max="8965" width="10.81640625" style="4"/>
    <col min="8966" max="8966" width="5.1796875" style="4" bestFit="1" customWidth="1"/>
    <col min="8967" max="8967" width="60.1796875" style="4" customWidth="1"/>
    <col min="8968" max="8968" width="16.453125" style="4" customWidth="1"/>
    <col min="8969" max="8969" width="10.36328125" style="4" customWidth="1"/>
    <col min="8970" max="8970" width="6.81640625" style="4" customWidth="1"/>
    <col min="8971" max="8971" width="8.1796875" style="4" customWidth="1"/>
    <col min="8972" max="8972" width="13.81640625" style="4" customWidth="1"/>
    <col min="8973" max="8973" width="19.08984375" style="4" bestFit="1" customWidth="1"/>
    <col min="8974" max="8974" width="15.1796875" style="4" bestFit="1" customWidth="1"/>
    <col min="8975" max="8975" width="15.54296875" style="4" customWidth="1"/>
    <col min="8976" max="8977" width="13.1796875" style="4" customWidth="1"/>
    <col min="8978" max="8989" width="0" style="4" hidden="1" customWidth="1"/>
    <col min="8990" max="9221" width="10.81640625" style="4"/>
    <col min="9222" max="9222" width="5.1796875" style="4" bestFit="1" customWidth="1"/>
    <col min="9223" max="9223" width="60.1796875" style="4" customWidth="1"/>
    <col min="9224" max="9224" width="16.453125" style="4" customWidth="1"/>
    <col min="9225" max="9225" width="10.36328125" style="4" customWidth="1"/>
    <col min="9226" max="9226" width="6.81640625" style="4" customWidth="1"/>
    <col min="9227" max="9227" width="8.1796875" style="4" customWidth="1"/>
    <col min="9228" max="9228" width="13.81640625" style="4" customWidth="1"/>
    <col min="9229" max="9229" width="19.08984375" style="4" bestFit="1" customWidth="1"/>
    <col min="9230" max="9230" width="15.1796875" style="4" bestFit="1" customWidth="1"/>
    <col min="9231" max="9231" width="15.54296875" style="4" customWidth="1"/>
    <col min="9232" max="9233" width="13.1796875" style="4" customWidth="1"/>
    <col min="9234" max="9245" width="0" style="4" hidden="1" customWidth="1"/>
    <col min="9246" max="9477" width="10.81640625" style="4"/>
    <col min="9478" max="9478" width="5.1796875" style="4" bestFit="1" customWidth="1"/>
    <col min="9479" max="9479" width="60.1796875" style="4" customWidth="1"/>
    <col min="9480" max="9480" width="16.453125" style="4" customWidth="1"/>
    <col min="9481" max="9481" width="10.36328125" style="4" customWidth="1"/>
    <col min="9482" max="9482" width="6.81640625" style="4" customWidth="1"/>
    <col min="9483" max="9483" width="8.1796875" style="4" customWidth="1"/>
    <col min="9484" max="9484" width="13.81640625" style="4" customWidth="1"/>
    <col min="9485" max="9485" width="19.08984375" style="4" bestFit="1" customWidth="1"/>
    <col min="9486" max="9486" width="15.1796875" style="4" bestFit="1" customWidth="1"/>
    <col min="9487" max="9487" width="15.54296875" style="4" customWidth="1"/>
    <col min="9488" max="9489" width="13.1796875" style="4" customWidth="1"/>
    <col min="9490" max="9501" width="0" style="4" hidden="1" customWidth="1"/>
    <col min="9502" max="9733" width="10.81640625" style="4"/>
    <col min="9734" max="9734" width="5.1796875" style="4" bestFit="1" customWidth="1"/>
    <col min="9735" max="9735" width="60.1796875" style="4" customWidth="1"/>
    <col min="9736" max="9736" width="16.453125" style="4" customWidth="1"/>
    <col min="9737" max="9737" width="10.36328125" style="4" customWidth="1"/>
    <col min="9738" max="9738" width="6.81640625" style="4" customWidth="1"/>
    <col min="9739" max="9739" width="8.1796875" style="4" customWidth="1"/>
    <col min="9740" max="9740" width="13.81640625" style="4" customWidth="1"/>
    <col min="9741" max="9741" width="19.08984375" style="4" bestFit="1" customWidth="1"/>
    <col min="9742" max="9742" width="15.1796875" style="4" bestFit="1" customWidth="1"/>
    <col min="9743" max="9743" width="15.54296875" style="4" customWidth="1"/>
    <col min="9744" max="9745" width="13.1796875" style="4" customWidth="1"/>
    <col min="9746" max="9757" width="0" style="4" hidden="1" customWidth="1"/>
    <col min="9758" max="9989" width="10.81640625" style="4"/>
    <col min="9990" max="9990" width="5.1796875" style="4" bestFit="1" customWidth="1"/>
    <col min="9991" max="9991" width="60.1796875" style="4" customWidth="1"/>
    <col min="9992" max="9992" width="16.453125" style="4" customWidth="1"/>
    <col min="9993" max="9993" width="10.36328125" style="4" customWidth="1"/>
    <col min="9994" max="9994" width="6.81640625" style="4" customWidth="1"/>
    <col min="9995" max="9995" width="8.1796875" style="4" customWidth="1"/>
    <col min="9996" max="9996" width="13.81640625" style="4" customWidth="1"/>
    <col min="9997" max="9997" width="19.08984375" style="4" bestFit="1" customWidth="1"/>
    <col min="9998" max="9998" width="15.1796875" style="4" bestFit="1" customWidth="1"/>
    <col min="9999" max="9999" width="15.54296875" style="4" customWidth="1"/>
    <col min="10000" max="10001" width="13.1796875" style="4" customWidth="1"/>
    <col min="10002" max="10013" width="0" style="4" hidden="1" customWidth="1"/>
    <col min="10014" max="10245" width="10.81640625" style="4"/>
    <col min="10246" max="10246" width="5.1796875" style="4" bestFit="1" customWidth="1"/>
    <col min="10247" max="10247" width="60.1796875" style="4" customWidth="1"/>
    <col min="10248" max="10248" width="16.453125" style="4" customWidth="1"/>
    <col min="10249" max="10249" width="10.36328125" style="4" customWidth="1"/>
    <col min="10250" max="10250" width="6.81640625" style="4" customWidth="1"/>
    <col min="10251" max="10251" width="8.1796875" style="4" customWidth="1"/>
    <col min="10252" max="10252" width="13.81640625" style="4" customWidth="1"/>
    <col min="10253" max="10253" width="19.08984375" style="4" bestFit="1" customWidth="1"/>
    <col min="10254" max="10254" width="15.1796875" style="4" bestFit="1" customWidth="1"/>
    <col min="10255" max="10255" width="15.54296875" style="4" customWidth="1"/>
    <col min="10256" max="10257" width="13.1796875" style="4" customWidth="1"/>
    <col min="10258" max="10269" width="0" style="4" hidden="1" customWidth="1"/>
    <col min="10270" max="10501" width="10.81640625" style="4"/>
    <col min="10502" max="10502" width="5.1796875" style="4" bestFit="1" customWidth="1"/>
    <col min="10503" max="10503" width="60.1796875" style="4" customWidth="1"/>
    <col min="10504" max="10504" width="16.453125" style="4" customWidth="1"/>
    <col min="10505" max="10505" width="10.36328125" style="4" customWidth="1"/>
    <col min="10506" max="10506" width="6.81640625" style="4" customWidth="1"/>
    <col min="10507" max="10507" width="8.1796875" style="4" customWidth="1"/>
    <col min="10508" max="10508" width="13.81640625" style="4" customWidth="1"/>
    <col min="10509" max="10509" width="19.08984375" style="4" bestFit="1" customWidth="1"/>
    <col min="10510" max="10510" width="15.1796875" style="4" bestFit="1" customWidth="1"/>
    <col min="10511" max="10511" width="15.54296875" style="4" customWidth="1"/>
    <col min="10512" max="10513" width="13.1796875" style="4" customWidth="1"/>
    <col min="10514" max="10525" width="0" style="4" hidden="1" customWidth="1"/>
    <col min="10526" max="10757" width="10.81640625" style="4"/>
    <col min="10758" max="10758" width="5.1796875" style="4" bestFit="1" customWidth="1"/>
    <col min="10759" max="10759" width="60.1796875" style="4" customWidth="1"/>
    <col min="10760" max="10760" width="16.453125" style="4" customWidth="1"/>
    <col min="10761" max="10761" width="10.36328125" style="4" customWidth="1"/>
    <col min="10762" max="10762" width="6.81640625" style="4" customWidth="1"/>
    <col min="10763" max="10763" width="8.1796875" style="4" customWidth="1"/>
    <col min="10764" max="10764" width="13.81640625" style="4" customWidth="1"/>
    <col min="10765" max="10765" width="19.08984375" style="4" bestFit="1" customWidth="1"/>
    <col min="10766" max="10766" width="15.1796875" style="4" bestFit="1" customWidth="1"/>
    <col min="10767" max="10767" width="15.54296875" style="4" customWidth="1"/>
    <col min="10768" max="10769" width="13.1796875" style="4" customWidth="1"/>
    <col min="10770" max="10781" width="0" style="4" hidden="1" customWidth="1"/>
    <col min="10782" max="11013" width="10.81640625" style="4"/>
    <col min="11014" max="11014" width="5.1796875" style="4" bestFit="1" customWidth="1"/>
    <col min="11015" max="11015" width="60.1796875" style="4" customWidth="1"/>
    <col min="11016" max="11016" width="16.453125" style="4" customWidth="1"/>
    <col min="11017" max="11017" width="10.36328125" style="4" customWidth="1"/>
    <col min="11018" max="11018" width="6.81640625" style="4" customWidth="1"/>
    <col min="11019" max="11019" width="8.1796875" style="4" customWidth="1"/>
    <col min="11020" max="11020" width="13.81640625" style="4" customWidth="1"/>
    <col min="11021" max="11021" width="19.08984375" style="4" bestFit="1" customWidth="1"/>
    <col min="11022" max="11022" width="15.1796875" style="4" bestFit="1" customWidth="1"/>
    <col min="11023" max="11023" width="15.54296875" style="4" customWidth="1"/>
    <col min="11024" max="11025" width="13.1796875" style="4" customWidth="1"/>
    <col min="11026" max="11037" width="0" style="4" hidden="1" customWidth="1"/>
    <col min="11038" max="11269" width="10.81640625" style="4"/>
    <col min="11270" max="11270" width="5.1796875" style="4" bestFit="1" customWidth="1"/>
    <col min="11271" max="11271" width="60.1796875" style="4" customWidth="1"/>
    <col min="11272" max="11272" width="16.453125" style="4" customWidth="1"/>
    <col min="11273" max="11273" width="10.36328125" style="4" customWidth="1"/>
    <col min="11274" max="11274" width="6.81640625" style="4" customWidth="1"/>
    <col min="11275" max="11275" width="8.1796875" style="4" customWidth="1"/>
    <col min="11276" max="11276" width="13.81640625" style="4" customWidth="1"/>
    <col min="11277" max="11277" width="19.08984375" style="4" bestFit="1" customWidth="1"/>
    <col min="11278" max="11278" width="15.1796875" style="4" bestFit="1" customWidth="1"/>
    <col min="11279" max="11279" width="15.54296875" style="4" customWidth="1"/>
    <col min="11280" max="11281" width="13.1796875" style="4" customWidth="1"/>
    <col min="11282" max="11293" width="0" style="4" hidden="1" customWidth="1"/>
    <col min="11294" max="11525" width="10.81640625" style="4"/>
    <col min="11526" max="11526" width="5.1796875" style="4" bestFit="1" customWidth="1"/>
    <col min="11527" max="11527" width="60.1796875" style="4" customWidth="1"/>
    <col min="11528" max="11528" width="16.453125" style="4" customWidth="1"/>
    <col min="11529" max="11529" width="10.36328125" style="4" customWidth="1"/>
    <col min="11530" max="11530" width="6.81640625" style="4" customWidth="1"/>
    <col min="11531" max="11531" width="8.1796875" style="4" customWidth="1"/>
    <col min="11532" max="11532" width="13.81640625" style="4" customWidth="1"/>
    <col min="11533" max="11533" width="19.08984375" style="4" bestFit="1" customWidth="1"/>
    <col min="11534" max="11534" width="15.1796875" style="4" bestFit="1" customWidth="1"/>
    <col min="11535" max="11535" width="15.54296875" style="4" customWidth="1"/>
    <col min="11536" max="11537" width="13.1796875" style="4" customWidth="1"/>
    <col min="11538" max="11549" width="0" style="4" hidden="1" customWidth="1"/>
    <col min="11550" max="11781" width="10.81640625" style="4"/>
    <col min="11782" max="11782" width="5.1796875" style="4" bestFit="1" customWidth="1"/>
    <col min="11783" max="11783" width="60.1796875" style="4" customWidth="1"/>
    <col min="11784" max="11784" width="16.453125" style="4" customWidth="1"/>
    <col min="11785" max="11785" width="10.36328125" style="4" customWidth="1"/>
    <col min="11786" max="11786" width="6.81640625" style="4" customWidth="1"/>
    <col min="11787" max="11787" width="8.1796875" style="4" customWidth="1"/>
    <col min="11788" max="11788" width="13.81640625" style="4" customWidth="1"/>
    <col min="11789" max="11789" width="19.08984375" style="4" bestFit="1" customWidth="1"/>
    <col min="11790" max="11790" width="15.1796875" style="4" bestFit="1" customWidth="1"/>
    <col min="11791" max="11791" width="15.54296875" style="4" customWidth="1"/>
    <col min="11792" max="11793" width="13.1796875" style="4" customWidth="1"/>
    <col min="11794" max="11805" width="0" style="4" hidden="1" customWidth="1"/>
    <col min="11806" max="12037" width="10.81640625" style="4"/>
    <col min="12038" max="12038" width="5.1796875" style="4" bestFit="1" customWidth="1"/>
    <col min="12039" max="12039" width="60.1796875" style="4" customWidth="1"/>
    <col min="12040" max="12040" width="16.453125" style="4" customWidth="1"/>
    <col min="12041" max="12041" width="10.36328125" style="4" customWidth="1"/>
    <col min="12042" max="12042" width="6.81640625" style="4" customWidth="1"/>
    <col min="12043" max="12043" width="8.1796875" style="4" customWidth="1"/>
    <col min="12044" max="12044" width="13.81640625" style="4" customWidth="1"/>
    <col min="12045" max="12045" width="19.08984375" style="4" bestFit="1" customWidth="1"/>
    <col min="12046" max="12046" width="15.1796875" style="4" bestFit="1" customWidth="1"/>
    <col min="12047" max="12047" width="15.54296875" style="4" customWidth="1"/>
    <col min="12048" max="12049" width="13.1796875" style="4" customWidth="1"/>
    <col min="12050" max="12061" width="0" style="4" hidden="1" customWidth="1"/>
    <col min="12062" max="12293" width="10.81640625" style="4"/>
    <col min="12294" max="12294" width="5.1796875" style="4" bestFit="1" customWidth="1"/>
    <col min="12295" max="12295" width="60.1796875" style="4" customWidth="1"/>
    <col min="12296" max="12296" width="16.453125" style="4" customWidth="1"/>
    <col min="12297" max="12297" width="10.36328125" style="4" customWidth="1"/>
    <col min="12298" max="12298" width="6.81640625" style="4" customWidth="1"/>
    <col min="12299" max="12299" width="8.1796875" style="4" customWidth="1"/>
    <col min="12300" max="12300" width="13.81640625" style="4" customWidth="1"/>
    <col min="12301" max="12301" width="19.08984375" style="4" bestFit="1" customWidth="1"/>
    <col min="12302" max="12302" width="15.1796875" style="4" bestFit="1" customWidth="1"/>
    <col min="12303" max="12303" width="15.54296875" style="4" customWidth="1"/>
    <col min="12304" max="12305" width="13.1796875" style="4" customWidth="1"/>
    <col min="12306" max="12317" width="0" style="4" hidden="1" customWidth="1"/>
    <col min="12318" max="12549" width="10.81640625" style="4"/>
    <col min="12550" max="12550" width="5.1796875" style="4" bestFit="1" customWidth="1"/>
    <col min="12551" max="12551" width="60.1796875" style="4" customWidth="1"/>
    <col min="12552" max="12552" width="16.453125" style="4" customWidth="1"/>
    <col min="12553" max="12553" width="10.36328125" style="4" customWidth="1"/>
    <col min="12554" max="12554" width="6.81640625" style="4" customWidth="1"/>
    <col min="12555" max="12555" width="8.1796875" style="4" customWidth="1"/>
    <col min="12556" max="12556" width="13.81640625" style="4" customWidth="1"/>
    <col min="12557" max="12557" width="19.08984375" style="4" bestFit="1" customWidth="1"/>
    <col min="12558" max="12558" width="15.1796875" style="4" bestFit="1" customWidth="1"/>
    <col min="12559" max="12559" width="15.54296875" style="4" customWidth="1"/>
    <col min="12560" max="12561" width="13.1796875" style="4" customWidth="1"/>
    <col min="12562" max="12573" width="0" style="4" hidden="1" customWidth="1"/>
    <col min="12574" max="12805" width="10.81640625" style="4"/>
    <col min="12806" max="12806" width="5.1796875" style="4" bestFit="1" customWidth="1"/>
    <col min="12807" max="12807" width="60.1796875" style="4" customWidth="1"/>
    <col min="12808" max="12808" width="16.453125" style="4" customWidth="1"/>
    <col min="12809" max="12809" width="10.36328125" style="4" customWidth="1"/>
    <col min="12810" max="12810" width="6.81640625" style="4" customWidth="1"/>
    <col min="12811" max="12811" width="8.1796875" style="4" customWidth="1"/>
    <col min="12812" max="12812" width="13.81640625" style="4" customWidth="1"/>
    <col min="12813" max="12813" width="19.08984375" style="4" bestFit="1" customWidth="1"/>
    <col min="12814" max="12814" width="15.1796875" style="4" bestFit="1" customWidth="1"/>
    <col min="12815" max="12815" width="15.54296875" style="4" customWidth="1"/>
    <col min="12816" max="12817" width="13.1796875" style="4" customWidth="1"/>
    <col min="12818" max="12829" width="0" style="4" hidden="1" customWidth="1"/>
    <col min="12830" max="13061" width="10.81640625" style="4"/>
    <col min="13062" max="13062" width="5.1796875" style="4" bestFit="1" customWidth="1"/>
    <col min="13063" max="13063" width="60.1796875" style="4" customWidth="1"/>
    <col min="13064" max="13064" width="16.453125" style="4" customWidth="1"/>
    <col min="13065" max="13065" width="10.36328125" style="4" customWidth="1"/>
    <col min="13066" max="13066" width="6.81640625" style="4" customWidth="1"/>
    <col min="13067" max="13067" width="8.1796875" style="4" customWidth="1"/>
    <col min="13068" max="13068" width="13.81640625" style="4" customWidth="1"/>
    <col min="13069" max="13069" width="19.08984375" style="4" bestFit="1" customWidth="1"/>
    <col min="13070" max="13070" width="15.1796875" style="4" bestFit="1" customWidth="1"/>
    <col min="13071" max="13071" width="15.54296875" style="4" customWidth="1"/>
    <col min="13072" max="13073" width="13.1796875" style="4" customWidth="1"/>
    <col min="13074" max="13085" width="0" style="4" hidden="1" customWidth="1"/>
    <col min="13086" max="13317" width="10.81640625" style="4"/>
    <col min="13318" max="13318" width="5.1796875" style="4" bestFit="1" customWidth="1"/>
    <col min="13319" max="13319" width="60.1796875" style="4" customWidth="1"/>
    <col min="13320" max="13320" width="16.453125" style="4" customWidth="1"/>
    <col min="13321" max="13321" width="10.36328125" style="4" customWidth="1"/>
    <col min="13322" max="13322" width="6.81640625" style="4" customWidth="1"/>
    <col min="13323" max="13323" width="8.1796875" style="4" customWidth="1"/>
    <col min="13324" max="13324" width="13.81640625" style="4" customWidth="1"/>
    <col min="13325" max="13325" width="19.08984375" style="4" bestFit="1" customWidth="1"/>
    <col min="13326" max="13326" width="15.1796875" style="4" bestFit="1" customWidth="1"/>
    <col min="13327" max="13327" width="15.54296875" style="4" customWidth="1"/>
    <col min="13328" max="13329" width="13.1796875" style="4" customWidth="1"/>
    <col min="13330" max="13341" width="0" style="4" hidden="1" customWidth="1"/>
    <col min="13342" max="13573" width="10.81640625" style="4"/>
    <col min="13574" max="13574" width="5.1796875" style="4" bestFit="1" customWidth="1"/>
    <col min="13575" max="13575" width="60.1796875" style="4" customWidth="1"/>
    <col min="13576" max="13576" width="16.453125" style="4" customWidth="1"/>
    <col min="13577" max="13577" width="10.36328125" style="4" customWidth="1"/>
    <col min="13578" max="13578" width="6.81640625" style="4" customWidth="1"/>
    <col min="13579" max="13579" width="8.1796875" style="4" customWidth="1"/>
    <col min="13580" max="13580" width="13.81640625" style="4" customWidth="1"/>
    <col min="13581" max="13581" width="19.08984375" style="4" bestFit="1" customWidth="1"/>
    <col min="13582" max="13582" width="15.1796875" style="4" bestFit="1" customWidth="1"/>
    <col min="13583" max="13583" width="15.54296875" style="4" customWidth="1"/>
    <col min="13584" max="13585" width="13.1796875" style="4" customWidth="1"/>
    <col min="13586" max="13597" width="0" style="4" hidden="1" customWidth="1"/>
    <col min="13598" max="13829" width="10.81640625" style="4"/>
    <col min="13830" max="13830" width="5.1796875" style="4" bestFit="1" customWidth="1"/>
    <col min="13831" max="13831" width="60.1796875" style="4" customWidth="1"/>
    <col min="13832" max="13832" width="16.453125" style="4" customWidth="1"/>
    <col min="13833" max="13833" width="10.36328125" style="4" customWidth="1"/>
    <col min="13834" max="13834" width="6.81640625" style="4" customWidth="1"/>
    <col min="13835" max="13835" width="8.1796875" style="4" customWidth="1"/>
    <col min="13836" max="13836" width="13.81640625" style="4" customWidth="1"/>
    <col min="13837" max="13837" width="19.08984375" style="4" bestFit="1" customWidth="1"/>
    <col min="13838" max="13838" width="15.1796875" style="4" bestFit="1" customWidth="1"/>
    <col min="13839" max="13839" width="15.54296875" style="4" customWidth="1"/>
    <col min="13840" max="13841" width="13.1796875" style="4" customWidth="1"/>
    <col min="13842" max="13853" width="0" style="4" hidden="1" customWidth="1"/>
    <col min="13854" max="14085" width="10.81640625" style="4"/>
    <col min="14086" max="14086" width="5.1796875" style="4" bestFit="1" customWidth="1"/>
    <col min="14087" max="14087" width="60.1796875" style="4" customWidth="1"/>
    <col min="14088" max="14088" width="16.453125" style="4" customWidth="1"/>
    <col min="14089" max="14089" width="10.36328125" style="4" customWidth="1"/>
    <col min="14090" max="14090" width="6.81640625" style="4" customWidth="1"/>
    <col min="14091" max="14091" width="8.1796875" style="4" customWidth="1"/>
    <col min="14092" max="14092" width="13.81640625" style="4" customWidth="1"/>
    <col min="14093" max="14093" width="19.08984375" style="4" bestFit="1" customWidth="1"/>
    <col min="14094" max="14094" width="15.1796875" style="4" bestFit="1" customWidth="1"/>
    <col min="14095" max="14095" width="15.54296875" style="4" customWidth="1"/>
    <col min="14096" max="14097" width="13.1796875" style="4" customWidth="1"/>
    <col min="14098" max="14109" width="0" style="4" hidden="1" customWidth="1"/>
    <col min="14110" max="14341" width="10.81640625" style="4"/>
    <col min="14342" max="14342" width="5.1796875" style="4" bestFit="1" customWidth="1"/>
    <col min="14343" max="14343" width="60.1796875" style="4" customWidth="1"/>
    <col min="14344" max="14344" width="16.453125" style="4" customWidth="1"/>
    <col min="14345" max="14345" width="10.36328125" style="4" customWidth="1"/>
    <col min="14346" max="14346" width="6.81640625" style="4" customWidth="1"/>
    <col min="14347" max="14347" width="8.1796875" style="4" customWidth="1"/>
    <col min="14348" max="14348" width="13.81640625" style="4" customWidth="1"/>
    <col min="14349" max="14349" width="19.08984375" style="4" bestFit="1" customWidth="1"/>
    <col min="14350" max="14350" width="15.1796875" style="4" bestFit="1" customWidth="1"/>
    <col min="14351" max="14351" width="15.54296875" style="4" customWidth="1"/>
    <col min="14352" max="14353" width="13.1796875" style="4" customWidth="1"/>
    <col min="14354" max="14365" width="0" style="4" hidden="1" customWidth="1"/>
    <col min="14366" max="14597" width="10.81640625" style="4"/>
    <col min="14598" max="14598" width="5.1796875" style="4" bestFit="1" customWidth="1"/>
    <col min="14599" max="14599" width="60.1796875" style="4" customWidth="1"/>
    <col min="14600" max="14600" width="16.453125" style="4" customWidth="1"/>
    <col min="14601" max="14601" width="10.36328125" style="4" customWidth="1"/>
    <col min="14602" max="14602" width="6.81640625" style="4" customWidth="1"/>
    <col min="14603" max="14603" width="8.1796875" style="4" customWidth="1"/>
    <col min="14604" max="14604" width="13.81640625" style="4" customWidth="1"/>
    <col min="14605" max="14605" width="19.08984375" style="4" bestFit="1" customWidth="1"/>
    <col min="14606" max="14606" width="15.1796875" style="4" bestFit="1" customWidth="1"/>
    <col min="14607" max="14607" width="15.54296875" style="4" customWidth="1"/>
    <col min="14608" max="14609" width="13.1796875" style="4" customWidth="1"/>
    <col min="14610" max="14621" width="0" style="4" hidden="1" customWidth="1"/>
    <col min="14622" max="14853" width="10.81640625" style="4"/>
    <col min="14854" max="14854" width="5.1796875" style="4" bestFit="1" customWidth="1"/>
    <col min="14855" max="14855" width="60.1796875" style="4" customWidth="1"/>
    <col min="14856" max="14856" width="16.453125" style="4" customWidth="1"/>
    <col min="14857" max="14857" width="10.36328125" style="4" customWidth="1"/>
    <col min="14858" max="14858" width="6.81640625" style="4" customWidth="1"/>
    <col min="14859" max="14859" width="8.1796875" style="4" customWidth="1"/>
    <col min="14860" max="14860" width="13.81640625" style="4" customWidth="1"/>
    <col min="14861" max="14861" width="19.08984375" style="4" bestFit="1" customWidth="1"/>
    <col min="14862" max="14862" width="15.1796875" style="4" bestFit="1" customWidth="1"/>
    <col min="14863" max="14863" width="15.54296875" style="4" customWidth="1"/>
    <col min="14864" max="14865" width="13.1796875" style="4" customWidth="1"/>
    <col min="14866" max="14877" width="0" style="4" hidden="1" customWidth="1"/>
    <col min="14878" max="15109" width="10.81640625" style="4"/>
    <col min="15110" max="15110" width="5.1796875" style="4" bestFit="1" customWidth="1"/>
    <col min="15111" max="15111" width="60.1796875" style="4" customWidth="1"/>
    <col min="15112" max="15112" width="16.453125" style="4" customWidth="1"/>
    <col min="15113" max="15113" width="10.36328125" style="4" customWidth="1"/>
    <col min="15114" max="15114" width="6.81640625" style="4" customWidth="1"/>
    <col min="15115" max="15115" width="8.1796875" style="4" customWidth="1"/>
    <col min="15116" max="15116" width="13.81640625" style="4" customWidth="1"/>
    <col min="15117" max="15117" width="19.08984375" style="4" bestFit="1" customWidth="1"/>
    <col min="15118" max="15118" width="15.1796875" style="4" bestFit="1" customWidth="1"/>
    <col min="15119" max="15119" width="15.54296875" style="4" customWidth="1"/>
    <col min="15120" max="15121" width="13.1796875" style="4" customWidth="1"/>
    <col min="15122" max="15133" width="0" style="4" hidden="1" customWidth="1"/>
    <col min="15134" max="15365" width="10.81640625" style="4"/>
    <col min="15366" max="15366" width="5.1796875" style="4" bestFit="1" customWidth="1"/>
    <col min="15367" max="15367" width="60.1796875" style="4" customWidth="1"/>
    <col min="15368" max="15368" width="16.453125" style="4" customWidth="1"/>
    <col min="15369" max="15369" width="10.36328125" style="4" customWidth="1"/>
    <col min="15370" max="15370" width="6.81640625" style="4" customWidth="1"/>
    <col min="15371" max="15371" width="8.1796875" style="4" customWidth="1"/>
    <col min="15372" max="15372" width="13.81640625" style="4" customWidth="1"/>
    <col min="15373" max="15373" width="19.08984375" style="4" bestFit="1" customWidth="1"/>
    <col min="15374" max="15374" width="15.1796875" style="4" bestFit="1" customWidth="1"/>
    <col min="15375" max="15375" width="15.54296875" style="4" customWidth="1"/>
    <col min="15376" max="15377" width="13.1796875" style="4" customWidth="1"/>
    <col min="15378" max="15389" width="0" style="4" hidden="1" customWidth="1"/>
    <col min="15390" max="15621" width="10.81640625" style="4"/>
    <col min="15622" max="15622" width="5.1796875" style="4" bestFit="1" customWidth="1"/>
    <col min="15623" max="15623" width="60.1796875" style="4" customWidth="1"/>
    <col min="15624" max="15624" width="16.453125" style="4" customWidth="1"/>
    <col min="15625" max="15625" width="10.36328125" style="4" customWidth="1"/>
    <col min="15626" max="15626" width="6.81640625" style="4" customWidth="1"/>
    <col min="15627" max="15627" width="8.1796875" style="4" customWidth="1"/>
    <col min="15628" max="15628" width="13.81640625" style="4" customWidth="1"/>
    <col min="15629" max="15629" width="19.08984375" style="4" bestFit="1" customWidth="1"/>
    <col min="15630" max="15630" width="15.1796875" style="4" bestFit="1" customWidth="1"/>
    <col min="15631" max="15631" width="15.54296875" style="4" customWidth="1"/>
    <col min="15632" max="15633" width="13.1796875" style="4" customWidth="1"/>
    <col min="15634" max="15645" width="0" style="4" hidden="1" customWidth="1"/>
    <col min="15646" max="15877" width="10.81640625" style="4"/>
    <col min="15878" max="15878" width="5.1796875" style="4" bestFit="1" customWidth="1"/>
    <col min="15879" max="15879" width="60.1796875" style="4" customWidth="1"/>
    <col min="15880" max="15880" width="16.453125" style="4" customWidth="1"/>
    <col min="15881" max="15881" width="10.36328125" style="4" customWidth="1"/>
    <col min="15882" max="15882" width="6.81640625" style="4" customWidth="1"/>
    <col min="15883" max="15883" width="8.1796875" style="4" customWidth="1"/>
    <col min="15884" max="15884" width="13.81640625" style="4" customWidth="1"/>
    <col min="15885" max="15885" width="19.08984375" style="4" bestFit="1" customWidth="1"/>
    <col min="15886" max="15886" width="15.1796875" style="4" bestFit="1" customWidth="1"/>
    <col min="15887" max="15887" width="15.54296875" style="4" customWidth="1"/>
    <col min="15888" max="15889" width="13.1796875" style="4" customWidth="1"/>
    <col min="15890" max="15901" width="0" style="4" hidden="1" customWidth="1"/>
    <col min="15902" max="16133" width="10.81640625" style="4"/>
    <col min="16134" max="16134" width="5.1796875" style="4" bestFit="1" customWidth="1"/>
    <col min="16135" max="16135" width="60.1796875" style="4" customWidth="1"/>
    <col min="16136" max="16136" width="16.453125" style="4" customWidth="1"/>
    <col min="16137" max="16137" width="10.36328125" style="4" customWidth="1"/>
    <col min="16138" max="16138" width="6.81640625" style="4" customWidth="1"/>
    <col min="16139" max="16139" width="8.1796875" style="4" customWidth="1"/>
    <col min="16140" max="16140" width="13.81640625" style="4" customWidth="1"/>
    <col min="16141" max="16141" width="19.08984375" style="4" bestFit="1" customWidth="1"/>
    <col min="16142" max="16142" width="15.1796875" style="4" bestFit="1" customWidth="1"/>
    <col min="16143" max="16143" width="15.54296875" style="4" customWidth="1"/>
    <col min="16144" max="16145" width="13.1796875" style="4" customWidth="1"/>
    <col min="16146" max="16157" width="0" style="4" hidden="1" customWidth="1"/>
    <col min="16158" max="16384" width="10.81640625" style="4"/>
  </cols>
  <sheetData>
    <row r="1" spans="1:81" ht="27.75" customHeight="1" x14ac:dyDescent="0.35">
      <c r="A1" s="78"/>
      <c r="B1" s="92" t="s">
        <v>0</v>
      </c>
      <c r="C1" s="93"/>
      <c r="D1" s="93"/>
      <c r="E1" s="373" t="s">
        <v>166</v>
      </c>
      <c r="F1" s="373"/>
      <c r="G1" s="373"/>
      <c r="H1" s="373"/>
      <c r="I1" s="373"/>
      <c r="J1" s="373"/>
      <c r="K1" s="373"/>
      <c r="L1" s="373"/>
      <c r="M1" s="374" t="s">
        <v>164</v>
      </c>
      <c r="N1" s="375"/>
      <c r="O1" s="375"/>
      <c r="P1" s="376"/>
      <c r="Q1" s="89"/>
      <c r="R1" s="87"/>
      <c r="S1" s="87"/>
      <c r="T1" s="87"/>
      <c r="U1" s="94"/>
      <c r="V1" s="95"/>
      <c r="W1" s="371">
        <v>44927</v>
      </c>
      <c r="X1" s="371">
        <v>44958</v>
      </c>
      <c r="Y1" s="371">
        <v>44986</v>
      </c>
      <c r="Z1" s="371">
        <v>45017</v>
      </c>
      <c r="AA1" s="371">
        <v>45047</v>
      </c>
      <c r="AB1" s="371">
        <v>45078</v>
      </c>
      <c r="AC1" s="371">
        <v>45108</v>
      </c>
      <c r="AD1" s="371">
        <v>45139</v>
      </c>
      <c r="AE1" s="371">
        <v>45170</v>
      </c>
      <c r="AF1" s="371">
        <v>45200</v>
      </c>
      <c r="AG1" s="371">
        <v>45231</v>
      </c>
      <c r="AH1" s="371">
        <v>45261</v>
      </c>
      <c r="AI1" s="13"/>
      <c r="AJ1" s="80"/>
    </row>
    <row r="2" spans="1:81" ht="27.75" customHeight="1" x14ac:dyDescent="0.35">
      <c r="A2" s="78"/>
      <c r="B2" s="96">
        <v>10039575958.136999</v>
      </c>
      <c r="C2" s="97"/>
      <c r="D2" s="97"/>
      <c r="E2" s="98"/>
      <c r="F2" s="98"/>
      <c r="G2" s="98"/>
      <c r="H2" s="98"/>
      <c r="I2" s="98"/>
      <c r="J2" s="98"/>
      <c r="K2" s="98"/>
      <c r="L2" s="98"/>
      <c r="M2" s="99"/>
      <c r="N2" s="100"/>
      <c r="O2" s="100"/>
      <c r="P2" s="101"/>
      <c r="Q2" s="89"/>
      <c r="R2" s="87"/>
      <c r="S2" s="87"/>
      <c r="T2" s="87"/>
      <c r="U2" s="94"/>
      <c r="V2" s="95"/>
      <c r="W2" s="371"/>
      <c r="X2" s="371"/>
      <c r="Y2" s="371"/>
      <c r="Z2" s="371"/>
      <c r="AA2" s="371"/>
      <c r="AB2" s="371"/>
      <c r="AC2" s="371"/>
      <c r="AD2" s="371"/>
      <c r="AE2" s="371"/>
      <c r="AF2" s="371"/>
      <c r="AG2" s="371"/>
      <c r="AH2" s="371"/>
      <c r="AI2" s="13"/>
      <c r="AJ2" s="80"/>
    </row>
    <row r="3" spans="1:81" s="6" customFormat="1" ht="37.5" x14ac:dyDescent="0.35">
      <c r="A3" s="81"/>
      <c r="B3" s="102" t="s">
        <v>1</v>
      </c>
      <c r="C3" s="103" t="s">
        <v>315</v>
      </c>
      <c r="D3" s="103" t="s">
        <v>2</v>
      </c>
      <c r="E3" s="103" t="s">
        <v>157</v>
      </c>
      <c r="F3" s="104" t="s">
        <v>162</v>
      </c>
      <c r="G3" s="104" t="s">
        <v>163</v>
      </c>
      <c r="H3" s="104" t="s">
        <v>273</v>
      </c>
      <c r="I3" s="105" t="s">
        <v>5</v>
      </c>
      <c r="J3" s="106" t="s">
        <v>3</v>
      </c>
      <c r="K3" s="107" t="s">
        <v>4</v>
      </c>
      <c r="L3" s="108" t="s">
        <v>167</v>
      </c>
      <c r="M3" s="105" t="s">
        <v>5</v>
      </c>
      <c r="N3" s="106" t="s">
        <v>3</v>
      </c>
      <c r="O3" s="107" t="s">
        <v>4</v>
      </c>
      <c r="P3" s="108" t="s">
        <v>165</v>
      </c>
      <c r="Q3" s="76" t="s">
        <v>168</v>
      </c>
      <c r="R3" s="109" t="s">
        <v>256</v>
      </c>
      <c r="S3" s="109" t="s">
        <v>6</v>
      </c>
      <c r="T3" s="109" t="s">
        <v>255</v>
      </c>
      <c r="U3" s="328" t="s">
        <v>341</v>
      </c>
      <c r="V3" s="328" t="s">
        <v>7</v>
      </c>
      <c r="W3" s="372"/>
      <c r="X3" s="372"/>
      <c r="Y3" s="372"/>
      <c r="Z3" s="372"/>
      <c r="AA3" s="372"/>
      <c r="AB3" s="372"/>
      <c r="AC3" s="372"/>
      <c r="AD3" s="372"/>
      <c r="AE3" s="372"/>
      <c r="AF3" s="372"/>
      <c r="AG3" s="372"/>
      <c r="AH3" s="372"/>
      <c r="AI3" s="13"/>
      <c r="AJ3" s="80" t="s">
        <v>146</v>
      </c>
      <c r="AK3" s="5" t="s">
        <v>440</v>
      </c>
      <c r="AL3" s="5" t="s">
        <v>441</v>
      </c>
      <c r="AM3" s="5" t="s">
        <v>442</v>
      </c>
      <c r="AN3" s="5" t="s">
        <v>443</v>
      </c>
      <c r="AO3" s="5" t="s">
        <v>444</v>
      </c>
      <c r="AP3" s="5" t="s">
        <v>445</v>
      </c>
      <c r="AQ3" s="5" t="s">
        <v>446</v>
      </c>
      <c r="AR3" s="5" t="s">
        <v>447</v>
      </c>
      <c r="AS3" s="5" t="s">
        <v>448</v>
      </c>
      <c r="AT3" s="5" t="s">
        <v>449</v>
      </c>
      <c r="AU3" s="5" t="s">
        <v>450</v>
      </c>
      <c r="AV3" s="5" t="s">
        <v>451</v>
      </c>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row>
    <row r="4" spans="1:81" s="119" customFormat="1" ht="17.5" x14ac:dyDescent="0.35">
      <c r="A4" s="110"/>
      <c r="B4" s="111" t="s">
        <v>8</v>
      </c>
      <c r="C4" s="112"/>
      <c r="D4" s="113"/>
      <c r="E4" s="114">
        <f>+E6</f>
        <v>7669887271.5500002</v>
      </c>
      <c r="F4" s="114">
        <v>1401264475</v>
      </c>
      <c r="G4" s="114">
        <f t="shared" ref="G4:H4" si="0">+G6</f>
        <v>291029097</v>
      </c>
      <c r="H4" s="114">
        <f t="shared" si="0"/>
        <v>3411840845.5499997</v>
      </c>
      <c r="I4" s="115"/>
      <c r="J4" s="112"/>
      <c r="K4" s="116"/>
      <c r="L4" s="114">
        <f>+L6</f>
        <v>3911035663.349</v>
      </c>
      <c r="M4" s="115"/>
      <c r="N4" s="112"/>
      <c r="O4" s="116"/>
      <c r="P4" s="114">
        <f>+P6</f>
        <v>6256950294.7879992</v>
      </c>
      <c r="Q4" s="17">
        <f>Q6</f>
        <v>10167985958.136999</v>
      </c>
      <c r="R4" s="113"/>
      <c r="S4" s="113"/>
      <c r="T4" s="113"/>
      <c r="U4" s="117"/>
      <c r="V4" s="117"/>
      <c r="W4" s="118"/>
      <c r="X4" s="118"/>
      <c r="Y4" s="118"/>
      <c r="Z4" s="118"/>
      <c r="AA4" s="118"/>
      <c r="AB4" s="118"/>
      <c r="AC4" s="118"/>
      <c r="AD4" s="118"/>
      <c r="AE4" s="118"/>
      <c r="AF4" s="118"/>
      <c r="AG4" s="118"/>
      <c r="AH4" s="118"/>
      <c r="AI4" s="13"/>
      <c r="AJ4" s="14"/>
      <c r="AK4" s="5"/>
      <c r="AL4" s="5"/>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row>
    <row r="5" spans="1:81" x14ac:dyDescent="0.35">
      <c r="A5" s="78"/>
      <c r="B5" s="120"/>
      <c r="C5" s="87"/>
      <c r="D5" s="121"/>
      <c r="E5" s="83"/>
      <c r="F5" s="114"/>
      <c r="G5" s="83"/>
      <c r="H5" s="83"/>
      <c r="I5" s="122"/>
      <c r="J5" s="87"/>
      <c r="K5" s="87"/>
      <c r="L5" s="83"/>
      <c r="M5" s="122"/>
      <c r="N5" s="87"/>
      <c r="O5" s="87"/>
      <c r="P5" s="83"/>
      <c r="Q5" s="77"/>
      <c r="R5" s="123"/>
      <c r="S5" s="123"/>
      <c r="T5" s="123"/>
      <c r="U5" s="124"/>
      <c r="V5" s="124"/>
      <c r="W5" s="79"/>
      <c r="X5" s="79"/>
      <c r="Y5" s="79"/>
      <c r="Z5" s="79"/>
      <c r="AA5" s="79"/>
      <c r="AB5" s="79"/>
      <c r="AC5" s="79"/>
      <c r="AD5" s="79"/>
      <c r="AE5" s="79"/>
      <c r="AF5" s="79"/>
      <c r="AG5" s="79"/>
      <c r="AH5" s="79"/>
      <c r="AI5" s="13"/>
      <c r="AJ5" s="14"/>
    </row>
    <row r="6" spans="1:81" ht="17.5" x14ac:dyDescent="0.35">
      <c r="A6" s="125" t="s">
        <v>9</v>
      </c>
      <c r="B6" s="126" t="s">
        <v>86</v>
      </c>
      <c r="C6" s="127"/>
      <c r="D6" s="128"/>
      <c r="E6" s="29">
        <f>E7+E98+E137+E154+E225</f>
        <v>7669887271.5500002</v>
      </c>
      <c r="F6" s="29">
        <v>1401264475</v>
      </c>
      <c r="G6" s="29">
        <f>G7+G98+G137+G154+G225</f>
        <v>291029097</v>
      </c>
      <c r="H6" s="29">
        <f>H7+H98+H137+H154+H225</f>
        <v>3411840845.5499997</v>
      </c>
      <c r="I6" s="129"/>
      <c r="J6" s="127"/>
      <c r="K6" s="130"/>
      <c r="L6" s="29">
        <f>L7+L98+L137+L154+L225</f>
        <v>3911035663.349</v>
      </c>
      <c r="M6" s="129"/>
      <c r="N6" s="127"/>
      <c r="O6" s="130"/>
      <c r="P6" s="29">
        <f>P7+P98+P137+P154+P225</f>
        <v>6256950294.7879992</v>
      </c>
      <c r="Q6" s="29">
        <f>Q7+Q98+Q137+Q154+Q225</f>
        <v>10167985958.136999</v>
      </c>
      <c r="R6" s="131"/>
      <c r="S6" s="131"/>
      <c r="T6" s="131"/>
      <c r="U6" s="132"/>
      <c r="V6" s="133"/>
      <c r="W6" s="134"/>
      <c r="X6" s="134"/>
      <c r="Y6" s="134"/>
      <c r="Z6" s="134"/>
      <c r="AA6" s="134"/>
      <c r="AB6" s="134"/>
      <c r="AC6" s="134"/>
      <c r="AD6" s="134"/>
      <c r="AE6" s="134"/>
      <c r="AF6" s="134"/>
      <c r="AG6" s="134"/>
      <c r="AH6" s="134"/>
      <c r="AI6" s="13"/>
      <c r="AJ6" s="14"/>
      <c r="AK6" s="29">
        <f>AK7+AK98+AK137+AK154+AK225</f>
        <v>243670238</v>
      </c>
      <c r="AL6" s="29">
        <f t="shared" ref="AL6:AV6" si="1">AL7+AL98+AL137+AL154+AL225</f>
        <v>1996057887</v>
      </c>
      <c r="AM6" s="29">
        <f t="shared" si="1"/>
        <v>719844658.86940002</v>
      </c>
      <c r="AN6" s="29">
        <f t="shared" si="1"/>
        <v>277491629.10000002</v>
      </c>
      <c r="AO6" s="29">
        <f t="shared" si="1"/>
        <v>314953909.10000002</v>
      </c>
      <c r="AP6" s="29">
        <f t="shared" si="1"/>
        <v>253291499.09999999</v>
      </c>
      <c r="AQ6" s="29">
        <f t="shared" si="1"/>
        <v>180841409.09999999</v>
      </c>
      <c r="AR6" s="29">
        <f t="shared" si="1"/>
        <v>189327659.09999999</v>
      </c>
      <c r="AS6" s="29">
        <f t="shared" si="1"/>
        <v>130771387.84999999</v>
      </c>
      <c r="AT6" s="29">
        <f t="shared" si="1"/>
        <v>163062256.59999999</v>
      </c>
      <c r="AU6" s="29">
        <f t="shared" si="1"/>
        <v>1808738826.5999999</v>
      </c>
      <c r="AV6" s="29">
        <f t="shared" si="1"/>
        <v>77193346.599999994</v>
      </c>
      <c r="AW6" s="337">
        <f>+SUM(AK6:AV6)</f>
        <v>6355244707.0193996</v>
      </c>
    </row>
    <row r="7" spans="1:81" s="143" customFormat="1" ht="35" x14ac:dyDescent="0.35">
      <c r="A7" s="135" t="s">
        <v>133</v>
      </c>
      <c r="B7" s="136" t="s">
        <v>334</v>
      </c>
      <c r="C7" s="137"/>
      <c r="D7" s="138"/>
      <c r="E7" s="30">
        <f>+E8+E39+E55+E70+E74+E76+E52+E86+E95+E78+E72</f>
        <v>5587305125.6999998</v>
      </c>
      <c r="F7" s="30">
        <v>161280613</v>
      </c>
      <c r="G7" s="30">
        <f>+G8+G39+G55+G70+G74+G76+G52+G86+G95+G78</f>
        <v>215980742</v>
      </c>
      <c r="H7" s="30">
        <f>+H8+H39+H55+H70+H74+H76+H52+H86+H95+H78</f>
        <v>2620568708.6999998</v>
      </c>
      <c r="I7" s="139"/>
      <c r="J7" s="30"/>
      <c r="K7" s="140"/>
      <c r="L7" s="30">
        <f>+L8+L39+L55+L70+L74+L76+L52+L86+L95+L78+L72</f>
        <v>3184423798.1490002</v>
      </c>
      <c r="M7" s="139"/>
      <c r="N7" s="30"/>
      <c r="O7" s="140"/>
      <c r="P7" s="30">
        <f>+P8+P39+P55+P70+P74+P76+P52+P86+P95+P78+P72</f>
        <v>3358554304.428</v>
      </c>
      <c r="Q7" s="30">
        <f>+Q8+Q39+Q55+Q70+Q74+Q76+Q52+Q86+Q95+Q78+Q72</f>
        <v>6542978102.5769997</v>
      </c>
      <c r="R7" s="138"/>
      <c r="S7" s="138"/>
      <c r="T7" s="138"/>
      <c r="U7" s="141"/>
      <c r="V7" s="141"/>
      <c r="W7" s="142"/>
      <c r="X7" s="142"/>
      <c r="Y7" s="142"/>
      <c r="Z7" s="142"/>
      <c r="AA7" s="142"/>
      <c r="AB7" s="142"/>
      <c r="AC7" s="142"/>
      <c r="AD7" s="142"/>
      <c r="AE7" s="142"/>
      <c r="AF7" s="142"/>
      <c r="AG7" s="142"/>
      <c r="AH7" s="142"/>
      <c r="AI7" s="13"/>
      <c r="AJ7" s="14"/>
      <c r="AK7" s="5">
        <f>+AK8+AK39+AK55+AK70+AK74+AK76+AK52+AK86+AK95+AK78+AK72</f>
        <v>147411765</v>
      </c>
      <c r="AL7" s="5">
        <f t="shared" ref="AL7:AV7" si="2">+AL8+AL39+AL55+AL70+AL74+AL76+AL52+AL86+AL95+AL78+AL72</f>
        <v>1755097004</v>
      </c>
      <c r="AM7" s="5">
        <f t="shared" si="2"/>
        <v>485481117.7694</v>
      </c>
      <c r="AN7" s="5">
        <f t="shared" si="2"/>
        <v>85225000</v>
      </c>
      <c r="AO7" s="5">
        <f t="shared" si="2"/>
        <v>90325000</v>
      </c>
      <c r="AP7" s="5">
        <f t="shared" si="2"/>
        <v>31919200</v>
      </c>
      <c r="AQ7" s="5">
        <f t="shared" si="2"/>
        <v>61152500</v>
      </c>
      <c r="AR7" s="5">
        <f t="shared" si="2"/>
        <v>129925000</v>
      </c>
      <c r="AS7" s="5">
        <f t="shared" si="2"/>
        <v>14125000</v>
      </c>
      <c r="AT7" s="5">
        <f t="shared" si="2"/>
        <v>60000000</v>
      </c>
      <c r="AU7" s="5">
        <f t="shared" si="2"/>
        <v>1729950000</v>
      </c>
      <c r="AV7" s="5">
        <f t="shared" si="2"/>
        <v>0</v>
      </c>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row>
    <row r="8" spans="1:81" s="155" customFormat="1" ht="17.5" x14ac:dyDescent="0.35">
      <c r="A8" s="144" t="s">
        <v>11</v>
      </c>
      <c r="B8" s="145" t="s">
        <v>249</v>
      </c>
      <c r="C8" s="32"/>
      <c r="D8" s="146"/>
      <c r="E8" s="31">
        <f>SUM(E9:E38)</f>
        <v>73052263</v>
      </c>
      <c r="F8" s="31">
        <f>SUM(F9:F38)</f>
        <v>29330723</v>
      </c>
      <c r="G8" s="31">
        <f>SUM(G9:G38)</f>
        <v>22000</v>
      </c>
      <c r="H8" s="31">
        <f>SUM(H9:H38)</f>
        <v>43699540</v>
      </c>
      <c r="I8" s="147"/>
      <c r="J8" s="32"/>
      <c r="K8" s="148"/>
      <c r="L8" s="31">
        <f>SUM(L9:L38)</f>
        <v>737826120.20000005</v>
      </c>
      <c r="M8" s="147"/>
      <c r="N8" s="32"/>
      <c r="O8" s="148"/>
      <c r="P8" s="31">
        <f>SUM(P9:P38)</f>
        <v>350475720.92799997</v>
      </c>
      <c r="Q8" s="31">
        <f>SUM(Q9:Q38)</f>
        <v>1088301841.128</v>
      </c>
      <c r="R8" s="149"/>
      <c r="S8" s="149"/>
      <c r="T8" s="149"/>
      <c r="U8" s="150"/>
      <c r="V8" s="150"/>
      <c r="W8" s="151"/>
      <c r="X8" s="151"/>
      <c r="Y8" s="151"/>
      <c r="Z8" s="151"/>
      <c r="AA8" s="151"/>
      <c r="AB8" s="151"/>
      <c r="AC8" s="151"/>
      <c r="AD8" s="151"/>
      <c r="AE8" s="151"/>
      <c r="AF8" s="151"/>
      <c r="AG8" s="151"/>
      <c r="AH8" s="151"/>
      <c r="AI8" s="152"/>
      <c r="AJ8" s="153"/>
      <c r="AK8" s="154">
        <f>SUM(AK9:AK38)</f>
        <v>64433500</v>
      </c>
      <c r="AL8" s="154">
        <f t="shared" ref="AL8:AV8" si="3">SUM(AL9:AL38)</f>
        <v>39614208</v>
      </c>
      <c r="AM8" s="154">
        <f t="shared" si="3"/>
        <v>16525000</v>
      </c>
      <c r="AN8" s="154">
        <f t="shared" si="3"/>
        <v>16100000</v>
      </c>
      <c r="AO8" s="154">
        <f t="shared" si="3"/>
        <v>3325000</v>
      </c>
      <c r="AP8" s="154">
        <f t="shared" si="3"/>
        <v>15644200</v>
      </c>
      <c r="AQ8" s="154">
        <f t="shared" si="3"/>
        <v>42652500</v>
      </c>
      <c r="AR8" s="154">
        <f t="shared" si="3"/>
        <v>9925000</v>
      </c>
      <c r="AS8" s="154">
        <f t="shared" si="3"/>
        <v>14125000</v>
      </c>
      <c r="AT8" s="154">
        <f t="shared" si="3"/>
        <v>0</v>
      </c>
      <c r="AU8" s="154">
        <f t="shared" si="3"/>
        <v>0</v>
      </c>
      <c r="AV8" s="154">
        <f t="shared" si="3"/>
        <v>0</v>
      </c>
    </row>
    <row r="9" spans="1:81" s="6" customFormat="1" ht="48" x14ac:dyDescent="0.35">
      <c r="A9" s="11"/>
      <c r="B9" s="36" t="s">
        <v>154</v>
      </c>
      <c r="C9" s="1" t="s">
        <v>335</v>
      </c>
      <c r="D9" s="205" t="s">
        <v>12</v>
      </c>
      <c r="E9" s="90"/>
      <c r="F9" s="9">
        <v>0</v>
      </c>
      <c r="G9" s="9"/>
      <c r="H9" s="2">
        <f>+E9-(F9+G9)</f>
        <v>0</v>
      </c>
      <c r="I9" s="2">
        <v>1571072</v>
      </c>
      <c r="J9" s="1">
        <v>14</v>
      </c>
      <c r="K9" s="1">
        <v>1</v>
      </c>
      <c r="L9" s="3">
        <f t="shared" ref="L9:L16" si="4">+I9*K9*J9</f>
        <v>21995008</v>
      </c>
      <c r="M9" s="2"/>
      <c r="N9" s="1"/>
      <c r="O9" s="1"/>
      <c r="P9" s="3">
        <f t="shared" ref="P9:P16" si="5">+M9*O9*N9</f>
        <v>0</v>
      </c>
      <c r="Q9" s="17">
        <f>P9+L9</f>
        <v>21995008</v>
      </c>
      <c r="R9" s="1" t="s">
        <v>142</v>
      </c>
      <c r="S9" s="1"/>
      <c r="T9" s="1" t="s">
        <v>52</v>
      </c>
      <c r="U9" s="33">
        <v>45595</v>
      </c>
      <c r="V9" s="33">
        <f>U9+60</f>
        <v>45655</v>
      </c>
      <c r="W9" s="12"/>
      <c r="X9" s="12"/>
      <c r="Y9" s="12"/>
      <c r="Z9" s="12"/>
      <c r="AA9" s="12"/>
      <c r="AB9" s="12"/>
      <c r="AC9" s="12"/>
      <c r="AD9" s="12"/>
      <c r="AE9" s="12"/>
      <c r="AF9" s="12"/>
      <c r="AG9" s="12"/>
      <c r="AH9" s="12"/>
      <c r="AI9" s="13"/>
      <c r="AJ9" s="80" t="s">
        <v>147</v>
      </c>
      <c r="AK9" s="5"/>
      <c r="AL9" s="330">
        <f>+Q9</f>
        <v>21995008</v>
      </c>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row>
    <row r="10" spans="1:81" s="6" customFormat="1" ht="48" x14ac:dyDescent="0.35">
      <c r="A10" s="11"/>
      <c r="B10" s="36" t="s">
        <v>336</v>
      </c>
      <c r="C10" s="1" t="s">
        <v>278</v>
      </c>
      <c r="D10" s="205" t="s">
        <v>14</v>
      </c>
      <c r="E10" s="90">
        <v>33000000</v>
      </c>
      <c r="F10" s="9">
        <v>0</v>
      </c>
      <c r="G10" s="9"/>
      <c r="H10" s="2">
        <f t="shared" ref="H10:H75" si="6">+E10-(F10+G10)</f>
        <v>33000000</v>
      </c>
      <c r="I10" s="2"/>
      <c r="J10" s="1"/>
      <c r="K10" s="1"/>
      <c r="L10" s="3">
        <f t="shared" si="4"/>
        <v>0</v>
      </c>
      <c r="M10" s="28">
        <v>50000000</v>
      </c>
      <c r="N10" s="26">
        <v>1</v>
      </c>
      <c r="O10" s="26">
        <v>1</v>
      </c>
      <c r="P10" s="3">
        <f t="shared" si="5"/>
        <v>50000000</v>
      </c>
      <c r="Q10" s="17">
        <f t="shared" ref="Q10:Q75" si="7">P10+L10</f>
        <v>50000000</v>
      </c>
      <c r="R10" s="1" t="s">
        <v>251</v>
      </c>
      <c r="S10" s="1"/>
      <c r="T10" s="1" t="s">
        <v>52</v>
      </c>
      <c r="U10" s="33">
        <v>45572</v>
      </c>
      <c r="V10" s="33">
        <f>U10+120</f>
        <v>45692</v>
      </c>
      <c r="W10" s="12"/>
      <c r="X10" s="12"/>
      <c r="Y10" s="12"/>
      <c r="Z10" s="12"/>
      <c r="AA10" s="12"/>
      <c r="AB10" s="12"/>
      <c r="AC10" s="12"/>
      <c r="AD10" s="12"/>
      <c r="AE10" s="12"/>
      <c r="AF10" s="12"/>
      <c r="AG10" s="12"/>
      <c r="AH10" s="12"/>
      <c r="AI10" s="13"/>
      <c r="AJ10" s="80" t="s">
        <v>169</v>
      </c>
      <c r="AK10" s="5"/>
      <c r="AL10" s="5"/>
      <c r="AM10" s="90">
        <v>13200000</v>
      </c>
      <c r="AN10" s="4"/>
      <c r="AP10" s="4"/>
      <c r="AQ10" s="4"/>
      <c r="AR10" s="338">
        <f>19800000-AM10</f>
        <v>6600000</v>
      </c>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row>
    <row r="11" spans="1:81" ht="36" customHeight="1" x14ac:dyDescent="0.35">
      <c r="A11" s="78"/>
      <c r="B11" s="37" t="s">
        <v>85</v>
      </c>
      <c r="C11" s="26" t="s">
        <v>18</v>
      </c>
      <c r="D11" s="206" t="s">
        <v>19</v>
      </c>
      <c r="E11" s="70"/>
      <c r="F11" s="71">
        <v>0</v>
      </c>
      <c r="G11" s="71"/>
      <c r="H11" s="28">
        <f t="shared" si="6"/>
        <v>0</v>
      </c>
      <c r="I11" s="28"/>
      <c r="J11" s="26"/>
      <c r="K11" s="26"/>
      <c r="L11" s="3">
        <f t="shared" si="4"/>
        <v>0</v>
      </c>
      <c r="M11" s="28">
        <f>70000+3000</f>
        <v>73000</v>
      </c>
      <c r="N11" s="26">
        <f>+(5*5)*7</f>
        <v>175</v>
      </c>
      <c r="O11" s="26">
        <v>2</v>
      </c>
      <c r="P11" s="3">
        <f t="shared" si="5"/>
        <v>25550000</v>
      </c>
      <c r="Q11" s="17">
        <f t="shared" si="7"/>
        <v>25550000</v>
      </c>
      <c r="R11" s="26" t="s">
        <v>251</v>
      </c>
      <c r="S11" s="26"/>
      <c r="T11" s="26" t="s">
        <v>52</v>
      </c>
      <c r="U11" s="34">
        <f>+U10</f>
        <v>45572</v>
      </c>
      <c r="V11" s="34">
        <f>+V10</f>
        <v>45692</v>
      </c>
      <c r="W11" s="79"/>
      <c r="X11" s="79"/>
      <c r="Y11" s="79"/>
      <c r="Z11" s="79"/>
      <c r="AA11" s="79"/>
      <c r="AB11" s="79"/>
      <c r="AC11" s="79"/>
      <c r="AD11" s="79"/>
      <c r="AE11" s="79"/>
      <c r="AF11" s="79"/>
      <c r="AG11" s="79"/>
      <c r="AH11" s="79"/>
      <c r="AI11" s="13"/>
      <c r="AJ11" s="80" t="s">
        <v>148</v>
      </c>
      <c r="AL11" s="5">
        <f>+P11/2</f>
        <v>12775000</v>
      </c>
      <c r="AN11" s="4">
        <f>+AL11</f>
        <v>12775000</v>
      </c>
    </row>
    <row r="12" spans="1:81" ht="55.5" customHeight="1" x14ac:dyDescent="0.35">
      <c r="A12" s="78"/>
      <c r="B12" s="37" t="s">
        <v>342</v>
      </c>
      <c r="C12" s="26" t="s">
        <v>18</v>
      </c>
      <c r="D12" s="206" t="s">
        <v>19</v>
      </c>
      <c r="E12" s="70"/>
      <c r="F12" s="71">
        <v>0</v>
      </c>
      <c r="G12" s="71"/>
      <c r="H12" s="28">
        <f t="shared" si="6"/>
        <v>0</v>
      </c>
      <c r="I12" s="28"/>
      <c r="J12" s="26"/>
      <c r="K12" s="26"/>
      <c r="L12" s="3">
        <f t="shared" si="4"/>
        <v>0</v>
      </c>
      <c r="M12" s="28">
        <f>70000+3000</f>
        <v>73000</v>
      </c>
      <c r="N12" s="26">
        <f>+N11/2</f>
        <v>87.5</v>
      </c>
      <c r="O12" s="26">
        <v>1</v>
      </c>
      <c r="P12" s="3">
        <f t="shared" si="5"/>
        <v>6387500</v>
      </c>
      <c r="Q12" s="17">
        <f t="shared" si="7"/>
        <v>6387500</v>
      </c>
      <c r="R12" s="26" t="s">
        <v>251</v>
      </c>
      <c r="S12" s="26"/>
      <c r="T12" s="26" t="s">
        <v>52</v>
      </c>
      <c r="U12" s="34">
        <f>+V11</f>
        <v>45692</v>
      </c>
      <c r="V12" s="34">
        <f>+U12+30</f>
        <v>45722</v>
      </c>
      <c r="W12" s="79"/>
      <c r="X12" s="79"/>
      <c r="Y12" s="79"/>
      <c r="Z12" s="79"/>
      <c r="AA12" s="79"/>
      <c r="AB12" s="79"/>
      <c r="AC12" s="79"/>
      <c r="AD12" s="79"/>
      <c r="AE12" s="79"/>
      <c r="AF12" s="79"/>
      <c r="AG12" s="79"/>
      <c r="AH12" s="79"/>
      <c r="AI12" s="13"/>
      <c r="AJ12" s="80" t="s">
        <v>148</v>
      </c>
      <c r="AQ12" s="331">
        <f>+P12</f>
        <v>6387500</v>
      </c>
    </row>
    <row r="13" spans="1:81" ht="39.4" customHeight="1" x14ac:dyDescent="0.35">
      <c r="A13" s="78"/>
      <c r="B13" s="37" t="s">
        <v>282</v>
      </c>
      <c r="C13" s="26" t="s">
        <v>20</v>
      </c>
      <c r="D13" s="206" t="s">
        <v>21</v>
      </c>
      <c r="E13" s="26"/>
      <c r="F13" s="71">
        <v>0</v>
      </c>
      <c r="G13" s="71"/>
      <c r="H13" s="28">
        <f t="shared" si="6"/>
        <v>0</v>
      </c>
      <c r="I13" s="28"/>
      <c r="J13" s="26"/>
      <c r="K13" s="26"/>
      <c r="L13" s="3">
        <f t="shared" si="4"/>
        <v>0</v>
      </c>
      <c r="M13" s="28">
        <v>10000</v>
      </c>
      <c r="N13" s="26">
        <v>500</v>
      </c>
      <c r="O13" s="26">
        <v>1</v>
      </c>
      <c r="P13" s="3">
        <f t="shared" si="5"/>
        <v>5000000</v>
      </c>
      <c r="Q13" s="17">
        <f t="shared" si="7"/>
        <v>5000000</v>
      </c>
      <c r="R13" s="26" t="s">
        <v>250</v>
      </c>
      <c r="S13" s="26" t="s">
        <v>15</v>
      </c>
      <c r="T13" s="26" t="s">
        <v>52</v>
      </c>
      <c r="U13" s="34">
        <f>+V12+15</f>
        <v>45737</v>
      </c>
      <c r="V13" s="34">
        <f>+U13+50</f>
        <v>45787</v>
      </c>
      <c r="W13" s="79"/>
      <c r="X13" s="79"/>
      <c r="Y13" s="79"/>
      <c r="Z13" s="79"/>
      <c r="AA13" s="79"/>
      <c r="AB13" s="79"/>
      <c r="AC13" s="79"/>
      <c r="AD13" s="79"/>
      <c r="AE13" s="79"/>
      <c r="AF13" s="79"/>
      <c r="AG13" s="79"/>
      <c r="AH13" s="79"/>
      <c r="AI13" s="13"/>
      <c r="AJ13" s="80" t="s">
        <v>148</v>
      </c>
    </row>
    <row r="14" spans="1:81" ht="54.75" customHeight="1" x14ac:dyDescent="0.35">
      <c r="A14" s="78"/>
      <c r="B14" s="37" t="s">
        <v>337</v>
      </c>
      <c r="C14" s="26" t="s">
        <v>279</v>
      </c>
      <c r="D14" s="206" t="s">
        <v>14</v>
      </c>
      <c r="E14" s="26"/>
      <c r="F14" s="71">
        <v>0</v>
      </c>
      <c r="G14" s="71"/>
      <c r="H14" s="28">
        <f t="shared" si="6"/>
        <v>0</v>
      </c>
      <c r="I14" s="28"/>
      <c r="J14" s="26"/>
      <c r="K14" s="26"/>
      <c r="L14" s="3">
        <f t="shared" si="4"/>
        <v>0</v>
      </c>
      <c r="M14" s="28">
        <v>30000000</v>
      </c>
      <c r="N14" s="26">
        <v>1</v>
      </c>
      <c r="O14" s="26">
        <v>1</v>
      </c>
      <c r="P14" s="3">
        <f t="shared" si="5"/>
        <v>30000000</v>
      </c>
      <c r="Q14" s="17">
        <f t="shared" si="7"/>
        <v>30000000</v>
      </c>
      <c r="R14" s="26" t="s">
        <v>250</v>
      </c>
      <c r="S14" s="26" t="s">
        <v>17</v>
      </c>
      <c r="T14" s="26" t="s">
        <v>52</v>
      </c>
      <c r="U14" s="34">
        <v>45717</v>
      </c>
      <c r="V14" s="34">
        <f>+U14+90</f>
        <v>45807</v>
      </c>
      <c r="W14" s="79"/>
      <c r="X14" s="79"/>
      <c r="Y14" s="79"/>
      <c r="Z14" s="79"/>
      <c r="AA14" s="79"/>
      <c r="AB14" s="79"/>
      <c r="AC14" s="79"/>
      <c r="AD14" s="79"/>
      <c r="AE14" s="79"/>
      <c r="AF14" s="79"/>
      <c r="AG14" s="79"/>
      <c r="AH14" s="79"/>
      <c r="AI14" s="13"/>
      <c r="AJ14" s="80" t="s">
        <v>170</v>
      </c>
    </row>
    <row r="15" spans="1:81" ht="41.5" customHeight="1" x14ac:dyDescent="0.35">
      <c r="A15" s="78"/>
      <c r="B15" s="37" t="s">
        <v>338</v>
      </c>
      <c r="C15" s="26" t="s">
        <v>18</v>
      </c>
      <c r="D15" s="206" t="s">
        <v>19</v>
      </c>
      <c r="E15" s="26"/>
      <c r="F15" s="71">
        <v>0</v>
      </c>
      <c r="G15" s="71"/>
      <c r="H15" s="28">
        <f t="shared" si="6"/>
        <v>0</v>
      </c>
      <c r="I15" s="28"/>
      <c r="J15" s="26"/>
      <c r="K15" s="26"/>
      <c r="L15" s="3">
        <f t="shared" si="4"/>
        <v>0</v>
      </c>
      <c r="M15" s="28">
        <f>70000+3000</f>
        <v>73000</v>
      </c>
      <c r="N15" s="26">
        <f>+(5*5+4)*7</f>
        <v>203</v>
      </c>
      <c r="O15" s="26">
        <v>1</v>
      </c>
      <c r="P15" s="3">
        <f t="shared" si="5"/>
        <v>14819000</v>
      </c>
      <c r="Q15" s="17">
        <f t="shared" si="7"/>
        <v>14819000</v>
      </c>
      <c r="R15" s="26" t="s">
        <v>250</v>
      </c>
      <c r="S15" s="87"/>
      <c r="T15" s="26" t="s">
        <v>52</v>
      </c>
      <c r="U15" s="34">
        <f>+U14+15</f>
        <v>45732</v>
      </c>
      <c r="V15" s="91">
        <f>+V14</f>
        <v>45807</v>
      </c>
      <c r="W15" s="79"/>
      <c r="X15" s="79"/>
      <c r="Y15" s="79"/>
      <c r="Z15" s="79"/>
      <c r="AA15" s="79"/>
      <c r="AB15" s="79"/>
      <c r="AC15" s="79"/>
      <c r="AD15" s="79"/>
      <c r="AE15" s="79"/>
      <c r="AF15" s="79"/>
      <c r="AG15" s="79"/>
      <c r="AH15" s="79"/>
      <c r="AI15" s="13"/>
      <c r="AJ15" s="80" t="s">
        <v>148</v>
      </c>
    </row>
    <row r="16" spans="1:81" ht="38.75" customHeight="1" x14ac:dyDescent="0.35">
      <c r="A16" s="78"/>
      <c r="B16" s="37" t="s">
        <v>339</v>
      </c>
      <c r="C16" s="26" t="s">
        <v>18</v>
      </c>
      <c r="D16" s="206" t="s">
        <v>19</v>
      </c>
      <c r="E16" s="26"/>
      <c r="F16" s="71">
        <v>0</v>
      </c>
      <c r="G16" s="71"/>
      <c r="H16" s="28">
        <f t="shared" si="6"/>
        <v>0</v>
      </c>
      <c r="I16" s="28"/>
      <c r="J16" s="72"/>
      <c r="K16" s="26"/>
      <c r="L16" s="3">
        <f t="shared" si="4"/>
        <v>0</v>
      </c>
      <c r="M16" s="28">
        <f>70000+3000</f>
        <v>73000</v>
      </c>
      <c r="N16" s="72">
        <f>+N15/2</f>
        <v>101.5</v>
      </c>
      <c r="O16" s="26">
        <v>1</v>
      </c>
      <c r="P16" s="3">
        <f t="shared" si="5"/>
        <v>7409500</v>
      </c>
      <c r="Q16" s="17">
        <f t="shared" si="7"/>
        <v>7409500</v>
      </c>
      <c r="R16" s="26" t="s">
        <v>250</v>
      </c>
      <c r="S16" s="26"/>
      <c r="T16" s="26" t="s">
        <v>52</v>
      </c>
      <c r="U16" s="34">
        <f>+V14-15</f>
        <v>45792</v>
      </c>
      <c r="V16" s="34">
        <f>+U16+30</f>
        <v>45822</v>
      </c>
      <c r="W16" s="79"/>
      <c r="X16" s="79"/>
      <c r="Y16" s="79"/>
      <c r="Z16" s="79"/>
      <c r="AA16" s="79"/>
      <c r="AB16" s="79"/>
      <c r="AC16" s="79"/>
      <c r="AD16" s="79"/>
      <c r="AE16" s="79"/>
      <c r="AF16" s="79"/>
      <c r="AG16" s="79"/>
      <c r="AH16" s="79"/>
      <c r="AI16" s="13"/>
      <c r="AJ16" s="80" t="s">
        <v>148</v>
      </c>
    </row>
    <row r="17" spans="1:81" ht="32" x14ac:dyDescent="0.35">
      <c r="A17" s="78"/>
      <c r="B17" s="37" t="s">
        <v>343</v>
      </c>
      <c r="C17" s="26" t="s">
        <v>278</v>
      </c>
      <c r="D17" s="206" t="s">
        <v>112</v>
      </c>
      <c r="E17" s="28"/>
      <c r="F17" s="71">
        <v>0</v>
      </c>
      <c r="G17" s="71"/>
      <c r="H17" s="28">
        <f t="shared" si="6"/>
        <v>0</v>
      </c>
      <c r="I17" s="28">
        <v>484319800</v>
      </c>
      <c r="J17" s="26">
        <v>1</v>
      </c>
      <c r="K17" s="26">
        <v>1</v>
      </c>
      <c r="L17" s="3">
        <f>K17*J17*I17</f>
        <v>484319800</v>
      </c>
      <c r="M17" s="28"/>
      <c r="N17" s="26">
        <v>1</v>
      </c>
      <c r="O17" s="26">
        <v>1</v>
      </c>
      <c r="P17" s="3">
        <f>O17*N17*M17</f>
        <v>0</v>
      </c>
      <c r="Q17" s="17">
        <f t="shared" si="7"/>
        <v>484319800</v>
      </c>
      <c r="R17" s="26" t="s">
        <v>251</v>
      </c>
      <c r="S17" s="26"/>
      <c r="T17" s="26" t="s">
        <v>52</v>
      </c>
      <c r="U17" s="34">
        <v>45585</v>
      </c>
      <c r="V17" s="34">
        <f>U17+150</f>
        <v>45735</v>
      </c>
      <c r="W17" s="79"/>
      <c r="X17" s="79"/>
      <c r="Y17" s="79"/>
      <c r="Z17" s="79"/>
      <c r="AA17" s="79"/>
      <c r="AB17" s="79"/>
      <c r="AC17" s="79"/>
      <c r="AD17" s="79"/>
      <c r="AE17" s="79"/>
      <c r="AF17" s="79"/>
      <c r="AG17" s="79"/>
      <c r="AH17" s="79"/>
      <c r="AI17" s="13"/>
      <c r="AJ17" s="80" t="s">
        <v>171</v>
      </c>
    </row>
    <row r="18" spans="1:81" ht="32" x14ac:dyDescent="0.35">
      <c r="A18" s="78"/>
      <c r="B18" s="37" t="s">
        <v>267</v>
      </c>
      <c r="C18" s="26" t="s">
        <v>18</v>
      </c>
      <c r="D18" s="206" t="s">
        <v>19</v>
      </c>
      <c r="E18" s="28"/>
      <c r="F18" s="71">
        <v>0</v>
      </c>
      <c r="G18" s="71"/>
      <c r="H18" s="28">
        <f t="shared" si="6"/>
        <v>0</v>
      </c>
      <c r="I18" s="28"/>
      <c r="J18" s="26"/>
      <c r="K18" s="26"/>
      <c r="L18" s="3"/>
      <c r="M18" s="28">
        <v>85000</v>
      </c>
      <c r="N18" s="26">
        <f>18*21</f>
        <v>378</v>
      </c>
      <c r="O18" s="26">
        <v>1</v>
      </c>
      <c r="P18" s="3">
        <f t="shared" ref="P18:P20" si="8">+M18*O18*N18</f>
        <v>32130000</v>
      </c>
      <c r="Q18" s="17">
        <f>P18+L18</f>
        <v>32130000</v>
      </c>
      <c r="R18" s="26" t="s">
        <v>250</v>
      </c>
      <c r="S18" s="26"/>
      <c r="T18" s="26" t="s">
        <v>52</v>
      </c>
      <c r="U18" s="34">
        <v>45677</v>
      </c>
      <c r="V18" s="34">
        <v>45677</v>
      </c>
      <c r="W18" s="79"/>
      <c r="X18" s="79"/>
      <c r="Y18" s="79"/>
      <c r="Z18" s="79"/>
      <c r="AA18" s="79"/>
      <c r="AB18" s="79"/>
      <c r="AC18" s="79"/>
      <c r="AD18" s="79"/>
      <c r="AE18" s="79"/>
      <c r="AF18" s="79"/>
      <c r="AG18" s="79"/>
      <c r="AH18" s="79"/>
      <c r="AI18" s="13"/>
      <c r="AJ18" s="80"/>
    </row>
    <row r="19" spans="1:81" ht="32" x14ac:dyDescent="0.35">
      <c r="A19" s="78"/>
      <c r="B19" s="37" t="s">
        <v>268</v>
      </c>
      <c r="C19" s="26" t="s">
        <v>18</v>
      </c>
      <c r="D19" s="206" t="s">
        <v>19</v>
      </c>
      <c r="E19" s="28"/>
      <c r="F19" s="71"/>
      <c r="G19" s="71"/>
      <c r="H19" s="28"/>
      <c r="I19" s="28"/>
      <c r="J19" s="26"/>
      <c r="K19" s="26"/>
      <c r="L19" s="3"/>
      <c r="M19" s="28">
        <v>90000</v>
      </c>
      <c r="N19" s="26">
        <f>(65)*7</f>
        <v>455</v>
      </c>
      <c r="O19" s="26">
        <v>1</v>
      </c>
      <c r="P19" s="3">
        <f t="shared" si="8"/>
        <v>40950000</v>
      </c>
      <c r="Q19" s="17">
        <f t="shared" si="7"/>
        <v>40950000</v>
      </c>
      <c r="R19" s="26" t="s">
        <v>251</v>
      </c>
      <c r="S19" s="26"/>
      <c r="T19" s="26" t="s">
        <v>90</v>
      </c>
      <c r="U19" s="34">
        <v>45677</v>
      </c>
      <c r="V19" s="34">
        <v>45677</v>
      </c>
      <c r="W19" s="79"/>
      <c r="X19" s="79"/>
      <c r="Y19" s="79"/>
      <c r="Z19" s="79"/>
      <c r="AA19" s="79"/>
      <c r="AB19" s="79"/>
      <c r="AC19" s="79"/>
      <c r="AD19" s="79"/>
      <c r="AE19" s="79"/>
      <c r="AF19" s="79"/>
      <c r="AG19" s="79"/>
      <c r="AH19" s="79"/>
      <c r="AI19" s="13"/>
      <c r="AJ19" s="80"/>
    </row>
    <row r="20" spans="1:81" ht="16" x14ac:dyDescent="0.35">
      <c r="A20" s="78"/>
      <c r="B20" s="37" t="s">
        <v>78</v>
      </c>
      <c r="C20" s="26" t="s">
        <v>20</v>
      </c>
      <c r="D20" s="206">
        <v>0.01</v>
      </c>
      <c r="E20" s="28"/>
      <c r="F20" s="71">
        <v>0</v>
      </c>
      <c r="G20" s="71"/>
      <c r="H20" s="28">
        <f t="shared" ref="H20:H21" si="9">+E20-(F20+G20)</f>
        <v>0</v>
      </c>
      <c r="I20" s="28">
        <f>I19*0.01</f>
        <v>0</v>
      </c>
      <c r="J20" s="26">
        <f>J19</f>
        <v>0</v>
      </c>
      <c r="K20" s="26">
        <f>K19</f>
        <v>0</v>
      </c>
      <c r="L20" s="3">
        <f>L19*0.01</f>
        <v>0</v>
      </c>
      <c r="M20" s="28">
        <f>M19*0.035</f>
        <v>3150.0000000000005</v>
      </c>
      <c r="N20" s="26">
        <f>N19</f>
        <v>455</v>
      </c>
      <c r="O20" s="26">
        <f>O19</f>
        <v>1</v>
      </c>
      <c r="P20" s="3">
        <f t="shared" si="8"/>
        <v>1433250.0000000002</v>
      </c>
      <c r="Q20" s="17">
        <f t="shared" si="7"/>
        <v>1433250.0000000002</v>
      </c>
      <c r="R20" s="26" t="s">
        <v>251</v>
      </c>
      <c r="S20" s="26"/>
      <c r="T20" s="26" t="s">
        <v>90</v>
      </c>
      <c r="U20" s="34">
        <v>45677</v>
      </c>
      <c r="V20" s="34">
        <v>45677</v>
      </c>
      <c r="W20" s="79"/>
      <c r="X20" s="79"/>
      <c r="Y20" s="79"/>
      <c r="Z20" s="79"/>
      <c r="AA20" s="79"/>
      <c r="AB20" s="79"/>
      <c r="AC20" s="79"/>
      <c r="AD20" s="79"/>
      <c r="AE20" s="79"/>
      <c r="AF20" s="79"/>
      <c r="AG20" s="79"/>
      <c r="AH20" s="79"/>
      <c r="AI20" s="13"/>
      <c r="AJ20" s="80" t="s">
        <v>148</v>
      </c>
    </row>
    <row r="21" spans="1:81" ht="32" x14ac:dyDescent="0.35">
      <c r="A21" s="78"/>
      <c r="B21" s="37" t="s">
        <v>340</v>
      </c>
      <c r="C21" s="26" t="s">
        <v>18</v>
      </c>
      <c r="D21" s="206" t="s">
        <v>19</v>
      </c>
      <c r="E21" s="28"/>
      <c r="F21" s="71">
        <v>0</v>
      </c>
      <c r="G21" s="71"/>
      <c r="H21" s="28">
        <f t="shared" si="9"/>
        <v>0</v>
      </c>
      <c r="I21" s="28">
        <v>112850</v>
      </c>
      <c r="J21" s="26">
        <f>30*4</f>
        <v>120</v>
      </c>
      <c r="K21" s="26">
        <v>1</v>
      </c>
      <c r="L21" s="3">
        <f t="shared" ref="L21" si="10">+I21*K21*J21</f>
        <v>13542000</v>
      </c>
      <c r="M21" s="28">
        <v>0</v>
      </c>
      <c r="N21" s="26">
        <v>0</v>
      </c>
      <c r="O21" s="26">
        <v>1</v>
      </c>
      <c r="P21" s="3">
        <f t="shared" ref="P21" si="11">+M21*O21*N21</f>
        <v>0</v>
      </c>
      <c r="Q21" s="17">
        <f>P21+L21</f>
        <v>13542000</v>
      </c>
      <c r="R21" s="26" t="s">
        <v>250</v>
      </c>
      <c r="S21" s="26"/>
      <c r="T21" s="26" t="s">
        <v>52</v>
      </c>
      <c r="U21" s="34">
        <v>45622</v>
      </c>
      <c r="V21" s="34">
        <f>+U21+15</f>
        <v>45637</v>
      </c>
      <c r="W21" s="79"/>
      <c r="X21" s="79"/>
      <c r="Y21" s="79"/>
      <c r="Z21" s="79"/>
      <c r="AA21" s="79"/>
      <c r="AB21" s="79"/>
      <c r="AC21" s="79"/>
      <c r="AD21" s="79"/>
      <c r="AE21" s="79"/>
      <c r="AF21" s="79"/>
      <c r="AG21" s="79"/>
      <c r="AH21" s="79"/>
      <c r="AI21" s="13"/>
      <c r="AJ21" s="80"/>
    </row>
    <row r="22" spans="1:81" s="6" customFormat="1" ht="24.5" customHeight="1" x14ac:dyDescent="0.35">
      <c r="A22" s="11"/>
      <c r="B22" s="156" t="s">
        <v>23</v>
      </c>
      <c r="C22" s="1"/>
      <c r="D22" s="205"/>
      <c r="E22" s="1"/>
      <c r="F22" s="9">
        <v>0</v>
      </c>
      <c r="G22" s="9"/>
      <c r="H22" s="2">
        <f t="shared" si="6"/>
        <v>0</v>
      </c>
      <c r="I22" s="2"/>
      <c r="J22" s="1"/>
      <c r="K22" s="1"/>
      <c r="L22" s="3"/>
      <c r="M22" s="28"/>
      <c r="N22" s="26"/>
      <c r="O22" s="26"/>
      <c r="P22" s="3"/>
      <c r="Q22" s="17">
        <f t="shared" si="7"/>
        <v>0</v>
      </c>
      <c r="R22" s="1"/>
      <c r="S22" s="1"/>
      <c r="T22" s="1"/>
      <c r="U22" s="33"/>
      <c r="V22" s="33"/>
      <c r="W22" s="12"/>
      <c r="X22" s="12"/>
      <c r="Y22" s="12"/>
      <c r="Z22" s="12"/>
      <c r="AA22" s="12"/>
      <c r="AB22" s="12"/>
      <c r="AC22" s="12"/>
      <c r="AD22" s="12"/>
      <c r="AE22" s="12"/>
      <c r="AF22" s="12"/>
      <c r="AG22" s="12"/>
      <c r="AH22" s="12"/>
      <c r="AI22" s="13"/>
      <c r="AJ22" s="80"/>
      <c r="AK22" s="5"/>
      <c r="AL22" s="5"/>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row>
    <row r="23" spans="1:81" ht="48" x14ac:dyDescent="0.35">
      <c r="A23" s="78"/>
      <c r="B23" s="235" t="s">
        <v>344</v>
      </c>
      <c r="C23" s="236" t="s">
        <v>18</v>
      </c>
      <c r="D23" s="237" t="s">
        <v>19</v>
      </c>
      <c r="E23" s="238">
        <f>300000+3450000+1250000+112000*2-375000+112000*2+200000+7119213-80000+18000*2+14600510-69000</f>
        <v>26879723</v>
      </c>
      <c r="F23" s="239">
        <v>26879723</v>
      </c>
      <c r="G23" s="239"/>
      <c r="H23" s="238">
        <f t="shared" si="6"/>
        <v>0</v>
      </c>
      <c r="I23" s="238"/>
      <c r="J23" s="236"/>
      <c r="K23" s="236"/>
      <c r="L23" s="240">
        <f>+I23*K23*J23</f>
        <v>0</v>
      </c>
      <c r="M23" s="238"/>
      <c r="N23" s="236"/>
      <c r="O23" s="236"/>
      <c r="P23" s="240">
        <f>+M23*O23*N23</f>
        <v>0</v>
      </c>
      <c r="Q23" s="241">
        <f t="shared" si="7"/>
        <v>0</v>
      </c>
      <c r="R23" s="236" t="s">
        <v>142</v>
      </c>
      <c r="S23" s="236"/>
      <c r="T23" s="236" t="s">
        <v>52</v>
      </c>
      <c r="U23" s="242">
        <v>45474</v>
      </c>
      <c r="V23" s="242">
        <f>U23+30</f>
        <v>45504</v>
      </c>
      <c r="W23" s="243"/>
      <c r="X23" s="243"/>
      <c r="Y23" s="243"/>
      <c r="Z23" s="243"/>
      <c r="AA23" s="243"/>
      <c r="AB23" s="243"/>
      <c r="AC23" s="243"/>
      <c r="AD23" s="243"/>
      <c r="AE23" s="243"/>
      <c r="AF23" s="243"/>
      <c r="AG23" s="243"/>
      <c r="AH23" s="243"/>
      <c r="AI23" s="244"/>
      <c r="AJ23" s="245" t="s">
        <v>172</v>
      </c>
    </row>
    <row r="24" spans="1:81" s="249" customFormat="1" ht="27" customHeight="1" x14ac:dyDescent="0.35">
      <c r="A24" s="246"/>
      <c r="B24" s="235" t="s">
        <v>160</v>
      </c>
      <c r="C24" s="236" t="s">
        <v>18</v>
      </c>
      <c r="D24" s="237" t="s">
        <v>19</v>
      </c>
      <c r="E24" s="247">
        <f>64000*2+2300000+23000+10721540</f>
        <v>13172540</v>
      </c>
      <c r="F24" s="239">
        <v>2451000</v>
      </c>
      <c r="G24" s="239">
        <v>22000</v>
      </c>
      <c r="H24" s="238">
        <f t="shared" si="6"/>
        <v>10699540</v>
      </c>
      <c r="I24" s="238"/>
      <c r="J24" s="236"/>
      <c r="K24" s="236"/>
      <c r="L24" s="240">
        <f>I24*J24*K24</f>
        <v>0</v>
      </c>
      <c r="M24" s="238"/>
      <c r="N24" s="236"/>
      <c r="O24" s="236"/>
      <c r="P24" s="240">
        <f>M24*N24*O24</f>
        <v>0</v>
      </c>
      <c r="Q24" s="241">
        <f t="shared" si="7"/>
        <v>0</v>
      </c>
      <c r="R24" s="236" t="s">
        <v>142</v>
      </c>
      <c r="S24" s="236"/>
      <c r="T24" s="236" t="s">
        <v>52</v>
      </c>
      <c r="U24" s="242">
        <v>45509</v>
      </c>
      <c r="V24" s="242">
        <f>U24+20</f>
        <v>45529</v>
      </c>
      <c r="W24" s="243"/>
      <c r="X24" s="243"/>
      <c r="Y24" s="243"/>
      <c r="Z24" s="243"/>
      <c r="AA24" s="243"/>
      <c r="AB24" s="243"/>
      <c r="AC24" s="243"/>
      <c r="AD24" s="243"/>
      <c r="AE24" s="243"/>
      <c r="AF24" s="243"/>
      <c r="AG24" s="243"/>
      <c r="AH24" s="243"/>
      <c r="AI24" s="244"/>
      <c r="AJ24" s="245" t="s">
        <v>172</v>
      </c>
      <c r="AK24" s="248"/>
      <c r="AL24" s="248"/>
    </row>
    <row r="25" spans="1:81" s="6" customFormat="1" ht="32" x14ac:dyDescent="0.35">
      <c r="A25" s="81"/>
      <c r="B25" s="36" t="s">
        <v>345</v>
      </c>
      <c r="C25" s="1" t="s">
        <v>20</v>
      </c>
      <c r="D25" s="205" t="s">
        <v>112</v>
      </c>
      <c r="E25" s="1"/>
      <c r="F25" s="9">
        <v>0</v>
      </c>
      <c r="G25" s="9"/>
      <c r="H25" s="2">
        <f t="shared" si="6"/>
        <v>0</v>
      </c>
      <c r="I25" s="2">
        <v>23800000</v>
      </c>
      <c r="J25" s="1">
        <v>1</v>
      </c>
      <c r="K25" s="1">
        <v>1</v>
      </c>
      <c r="L25" s="2">
        <f>+I25*K25*J25</f>
        <v>23800000</v>
      </c>
      <c r="M25" s="2"/>
      <c r="N25" s="1"/>
      <c r="O25" s="1"/>
      <c r="P25" s="2">
        <f>+M25*O25*N25</f>
        <v>0</v>
      </c>
      <c r="Q25" s="9">
        <f t="shared" si="7"/>
        <v>23800000</v>
      </c>
      <c r="R25" s="1" t="s">
        <v>142</v>
      </c>
      <c r="S25" s="1" t="s">
        <v>15</v>
      </c>
      <c r="T25" s="1" t="s">
        <v>52</v>
      </c>
      <c r="U25" s="33">
        <v>45572</v>
      </c>
      <c r="V25" s="33">
        <f>+U25+60</f>
        <v>45632</v>
      </c>
      <c r="W25" s="12"/>
      <c r="X25" s="12"/>
      <c r="Y25" s="12"/>
      <c r="Z25" s="12"/>
      <c r="AA25" s="12"/>
      <c r="AB25" s="12"/>
      <c r="AC25" s="12"/>
      <c r="AD25" s="12"/>
      <c r="AE25" s="12"/>
      <c r="AF25" s="12"/>
      <c r="AG25" s="12"/>
      <c r="AH25" s="12"/>
      <c r="AI25" s="15"/>
      <c r="AJ25" s="190" t="s">
        <v>173</v>
      </c>
      <c r="AK25" s="339">
        <f>+L25</f>
        <v>23800000</v>
      </c>
      <c r="AL25" s="191"/>
    </row>
    <row r="26" spans="1:81" s="6" customFormat="1" ht="32" x14ac:dyDescent="0.35">
      <c r="A26" s="81"/>
      <c r="B26" s="36" t="s">
        <v>346</v>
      </c>
      <c r="C26" s="1" t="s">
        <v>20</v>
      </c>
      <c r="D26" s="205" t="s">
        <v>112</v>
      </c>
      <c r="E26" s="1"/>
      <c r="F26" s="9">
        <v>0</v>
      </c>
      <c r="G26" s="9"/>
      <c r="H26" s="2">
        <f t="shared" si="6"/>
        <v>0</v>
      </c>
      <c r="I26" s="2">
        <v>16258500</v>
      </c>
      <c r="J26" s="1">
        <v>1</v>
      </c>
      <c r="K26" s="1">
        <v>1</v>
      </c>
      <c r="L26" s="2">
        <f>+I26*K26*J26</f>
        <v>16258500</v>
      </c>
      <c r="M26" s="2"/>
      <c r="N26" s="1"/>
      <c r="O26" s="1"/>
      <c r="P26" s="2">
        <f>+M26*O26*N26</f>
        <v>0</v>
      </c>
      <c r="Q26" s="9">
        <f t="shared" si="7"/>
        <v>16258500</v>
      </c>
      <c r="R26" s="1" t="s">
        <v>142</v>
      </c>
      <c r="S26" s="1" t="s">
        <v>15</v>
      </c>
      <c r="T26" s="1" t="s">
        <v>52</v>
      </c>
      <c r="U26" s="33">
        <f>+U25</f>
        <v>45572</v>
      </c>
      <c r="V26" s="33">
        <f>+V25</f>
        <v>45632</v>
      </c>
      <c r="W26" s="12"/>
      <c r="X26" s="12"/>
      <c r="Y26" s="12"/>
      <c r="Z26" s="12"/>
      <c r="AA26" s="12"/>
      <c r="AB26" s="12"/>
      <c r="AC26" s="12"/>
      <c r="AD26" s="12"/>
      <c r="AE26" s="12"/>
      <c r="AF26" s="12"/>
      <c r="AG26" s="12"/>
      <c r="AH26" s="12"/>
      <c r="AI26" s="15"/>
      <c r="AJ26" s="190" t="s">
        <v>173</v>
      </c>
      <c r="AK26" s="339">
        <f t="shared" ref="AK26:AK27" si="12">+L26</f>
        <v>16258500</v>
      </c>
      <c r="AL26" s="191"/>
    </row>
    <row r="27" spans="1:81" s="6" customFormat="1" ht="22.5" customHeight="1" x14ac:dyDescent="0.35">
      <c r="A27" s="11"/>
      <c r="B27" s="36" t="s">
        <v>283</v>
      </c>
      <c r="C27" s="1" t="s">
        <v>77</v>
      </c>
      <c r="D27" s="205" t="s">
        <v>174</v>
      </c>
      <c r="E27" s="1"/>
      <c r="F27" s="9"/>
      <c r="G27" s="9"/>
      <c r="H27" s="2"/>
      <c r="I27" s="2">
        <v>120000</v>
      </c>
      <c r="J27" s="1">
        <f>3*10</f>
        <v>30</v>
      </c>
      <c r="K27" s="1">
        <v>1</v>
      </c>
      <c r="L27" s="3">
        <f>+I27*K27*J27</f>
        <v>3600000</v>
      </c>
      <c r="M27" s="28"/>
      <c r="N27" s="26"/>
      <c r="O27" s="26"/>
      <c r="P27" s="3"/>
      <c r="Q27" s="17">
        <f t="shared" si="7"/>
        <v>3600000</v>
      </c>
      <c r="R27" s="1" t="s">
        <v>142</v>
      </c>
      <c r="S27" s="1"/>
      <c r="T27" s="1" t="s">
        <v>52</v>
      </c>
      <c r="U27" s="33">
        <f>V26</f>
        <v>45632</v>
      </c>
      <c r="V27" s="33">
        <f>U27+11</f>
        <v>45643</v>
      </c>
      <c r="W27" s="12"/>
      <c r="X27" s="12"/>
      <c r="Y27" s="12"/>
      <c r="Z27" s="12"/>
      <c r="AA27" s="12"/>
      <c r="AB27" s="12"/>
      <c r="AC27" s="12"/>
      <c r="AD27" s="12"/>
      <c r="AE27" s="12"/>
      <c r="AF27" s="12"/>
      <c r="AG27" s="12"/>
      <c r="AH27" s="12"/>
      <c r="AI27" s="13"/>
      <c r="AJ27" s="80" t="s">
        <v>175</v>
      </c>
      <c r="AK27" s="339">
        <f t="shared" si="12"/>
        <v>3600000</v>
      </c>
      <c r="AL27" s="5"/>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row>
    <row r="28" spans="1:81" s="6" customFormat="1" ht="39.5" customHeight="1" x14ac:dyDescent="0.35">
      <c r="A28" s="81"/>
      <c r="B28" s="36" t="s">
        <v>347</v>
      </c>
      <c r="C28" s="1" t="s">
        <v>20</v>
      </c>
      <c r="D28" s="205" t="s">
        <v>14</v>
      </c>
      <c r="E28" s="1"/>
      <c r="F28" s="9">
        <v>0</v>
      </c>
      <c r="G28" s="9"/>
      <c r="H28" s="2">
        <f t="shared" si="6"/>
        <v>0</v>
      </c>
      <c r="I28" s="2"/>
      <c r="J28" s="1"/>
      <c r="K28" s="1"/>
      <c r="L28" s="3">
        <f t="shared" ref="L28:L38" si="13">+I28*K28*J28</f>
        <v>0</v>
      </c>
      <c r="M28" s="28">
        <f>200000*655.28/2</f>
        <v>65528000</v>
      </c>
      <c r="N28" s="26">
        <v>1</v>
      </c>
      <c r="O28" s="26">
        <v>1</v>
      </c>
      <c r="P28" s="3">
        <f t="shared" ref="P28:P38" si="14">+M28*O28*N28</f>
        <v>65528000</v>
      </c>
      <c r="Q28" s="17">
        <f t="shared" si="7"/>
        <v>65528000</v>
      </c>
      <c r="R28" s="1" t="s">
        <v>142</v>
      </c>
      <c r="S28" s="1" t="s">
        <v>17</v>
      </c>
      <c r="T28" s="1" t="s">
        <v>52</v>
      </c>
      <c r="U28" s="33">
        <v>45689</v>
      </c>
      <c r="V28" s="33">
        <f>U28+120</f>
        <v>45809</v>
      </c>
      <c r="W28" s="12"/>
      <c r="X28" s="12"/>
      <c r="Y28" s="12"/>
      <c r="Z28" s="12"/>
      <c r="AA28" s="12"/>
      <c r="AB28" s="12"/>
      <c r="AC28" s="12"/>
      <c r="AD28" s="12"/>
      <c r="AE28" s="12"/>
      <c r="AF28" s="12"/>
      <c r="AG28" s="12"/>
      <c r="AH28" s="12"/>
      <c r="AI28" s="13"/>
      <c r="AJ28" s="80" t="s">
        <v>148</v>
      </c>
      <c r="AK28" s="5"/>
      <c r="AL28" s="5"/>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row>
    <row r="29" spans="1:81" s="6" customFormat="1" ht="38" customHeight="1" x14ac:dyDescent="0.35">
      <c r="A29" s="11"/>
      <c r="B29" s="36" t="s">
        <v>348</v>
      </c>
      <c r="C29" s="1" t="s">
        <v>20</v>
      </c>
      <c r="D29" s="205" t="s">
        <v>22</v>
      </c>
      <c r="E29" s="1"/>
      <c r="F29" s="9">
        <v>0</v>
      </c>
      <c r="G29" s="9"/>
      <c r="H29" s="2">
        <f t="shared" si="6"/>
        <v>0</v>
      </c>
      <c r="I29" s="2"/>
      <c r="J29" s="1"/>
      <c r="K29" s="1"/>
      <c r="L29" s="3">
        <f t="shared" si="13"/>
        <v>0</v>
      </c>
      <c r="M29" s="28">
        <f>107463*655.28/20</f>
        <v>3520917.7319999998</v>
      </c>
      <c r="N29" s="26">
        <v>20</v>
      </c>
      <c r="O29" s="26">
        <v>0.2</v>
      </c>
      <c r="P29" s="3">
        <f t="shared" si="14"/>
        <v>14083670.927999999</v>
      </c>
      <c r="Q29" s="17">
        <f t="shared" si="7"/>
        <v>14083670.927999999</v>
      </c>
      <c r="R29" s="1" t="s">
        <v>142</v>
      </c>
      <c r="S29" s="1" t="s">
        <v>349</v>
      </c>
      <c r="T29" s="1" t="s">
        <v>52</v>
      </c>
      <c r="U29" s="33">
        <v>45689</v>
      </c>
      <c r="V29" s="33">
        <f>U29+540</f>
        <v>46229</v>
      </c>
      <c r="W29" s="12"/>
      <c r="X29" s="12"/>
      <c r="Y29" s="12"/>
      <c r="Z29" s="12"/>
      <c r="AA29" s="12"/>
      <c r="AB29" s="12"/>
      <c r="AC29" s="12"/>
      <c r="AD29" s="12"/>
      <c r="AE29" s="12"/>
      <c r="AF29" s="12"/>
      <c r="AG29" s="12"/>
      <c r="AH29" s="12"/>
      <c r="AI29" s="13"/>
      <c r="AJ29" s="80" t="s">
        <v>148</v>
      </c>
      <c r="AK29" s="5"/>
      <c r="AL29" s="5"/>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row>
    <row r="30" spans="1:81" s="258" customFormat="1" ht="42" customHeight="1" x14ac:dyDescent="0.35">
      <c r="A30" s="250"/>
      <c r="B30" s="251" t="s">
        <v>350</v>
      </c>
      <c r="C30" s="252" t="s">
        <v>176</v>
      </c>
      <c r="D30" s="253" t="s">
        <v>177</v>
      </c>
      <c r="E30" s="252"/>
      <c r="F30" s="254">
        <v>0</v>
      </c>
      <c r="G30" s="254"/>
      <c r="H30" s="255">
        <f t="shared" si="6"/>
        <v>0</v>
      </c>
      <c r="I30" s="255">
        <f>24000*1.005</f>
        <v>24119.999999999996</v>
      </c>
      <c r="J30" s="252">
        <v>28</v>
      </c>
      <c r="K30" s="252">
        <v>1</v>
      </c>
      <c r="L30" s="240">
        <f t="shared" si="13"/>
        <v>675359.99999999988</v>
      </c>
      <c r="M30" s="238"/>
      <c r="N30" s="236"/>
      <c r="O30" s="236"/>
      <c r="P30" s="240">
        <f t="shared" si="14"/>
        <v>0</v>
      </c>
      <c r="Q30" s="241">
        <f t="shared" si="7"/>
        <v>675359.99999999988</v>
      </c>
      <c r="R30" s="252" t="s">
        <v>142</v>
      </c>
      <c r="S30" s="252"/>
      <c r="T30" s="252" t="s">
        <v>52</v>
      </c>
      <c r="U30" s="256">
        <v>45572</v>
      </c>
      <c r="V30" s="256">
        <f>U30+14</f>
        <v>45586</v>
      </c>
      <c r="W30" s="257"/>
      <c r="X30" s="257"/>
      <c r="Y30" s="257"/>
      <c r="Z30" s="257"/>
      <c r="AA30" s="257"/>
      <c r="AB30" s="257"/>
      <c r="AC30" s="257"/>
      <c r="AD30" s="257"/>
      <c r="AE30" s="257"/>
      <c r="AF30" s="257"/>
      <c r="AG30" s="257"/>
      <c r="AH30" s="257"/>
      <c r="AI30" s="244"/>
      <c r="AJ30" s="245" t="s">
        <v>148</v>
      </c>
      <c r="AK30" s="248"/>
      <c r="AL30" s="248"/>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c r="BJ30" s="249"/>
      <c r="BK30" s="249"/>
      <c r="BL30" s="249"/>
      <c r="BM30" s="249"/>
      <c r="BN30" s="249"/>
      <c r="BO30" s="249"/>
      <c r="BP30" s="249"/>
      <c r="BQ30" s="249"/>
      <c r="BR30" s="249"/>
      <c r="BS30" s="249"/>
      <c r="BT30" s="249"/>
      <c r="BU30" s="249"/>
      <c r="BV30" s="249"/>
      <c r="BW30" s="249"/>
      <c r="BX30" s="249"/>
      <c r="BY30" s="249"/>
      <c r="BZ30" s="249"/>
      <c r="CA30" s="249"/>
      <c r="CB30" s="249"/>
      <c r="CC30" s="249"/>
    </row>
    <row r="31" spans="1:81" s="306" customFormat="1" ht="32" x14ac:dyDescent="0.35">
      <c r="A31" s="293"/>
      <c r="B31" s="294" t="s">
        <v>351</v>
      </c>
      <c r="C31" s="295" t="s">
        <v>18</v>
      </c>
      <c r="D31" s="296" t="s">
        <v>19</v>
      </c>
      <c r="E31" s="295"/>
      <c r="F31" s="297">
        <v>0</v>
      </c>
      <c r="G31" s="297"/>
      <c r="H31" s="298">
        <f t="shared" si="6"/>
        <v>0</v>
      </c>
      <c r="I31" s="298">
        <v>62015</v>
      </c>
      <c r="J31" s="295">
        <f>28*2+28+6+12+1</f>
        <v>103</v>
      </c>
      <c r="K31" s="295">
        <v>16</v>
      </c>
      <c r="L31" s="299">
        <f>+I31*K31*J31</f>
        <v>102200720</v>
      </c>
      <c r="M31" s="298"/>
      <c r="N31" s="295"/>
      <c r="O31" s="295"/>
      <c r="P31" s="299">
        <f t="shared" si="14"/>
        <v>0</v>
      </c>
      <c r="Q31" s="300">
        <f t="shared" si="7"/>
        <v>102200720</v>
      </c>
      <c r="R31" s="295" t="s">
        <v>142</v>
      </c>
      <c r="S31" s="295"/>
      <c r="T31" s="295" t="s">
        <v>52</v>
      </c>
      <c r="U31" s="301">
        <v>45606</v>
      </c>
      <c r="V31" s="301">
        <f>+U31+29</f>
        <v>45635</v>
      </c>
      <c r="W31" s="302"/>
      <c r="X31" s="302"/>
      <c r="Y31" s="302"/>
      <c r="Z31" s="302"/>
      <c r="AA31" s="302"/>
      <c r="AB31" s="302"/>
      <c r="AC31" s="302"/>
      <c r="AD31" s="302"/>
      <c r="AE31" s="302"/>
      <c r="AF31" s="302"/>
      <c r="AG31" s="302"/>
      <c r="AH31" s="302"/>
      <c r="AI31" s="303"/>
      <c r="AJ31" s="304" t="s">
        <v>179</v>
      </c>
      <c r="AK31" s="305"/>
      <c r="AL31" s="305"/>
    </row>
    <row r="32" spans="1:81" ht="25" x14ac:dyDescent="0.35">
      <c r="A32" s="78"/>
      <c r="B32" s="37" t="s">
        <v>178</v>
      </c>
      <c r="C32" s="26" t="s">
        <v>20</v>
      </c>
      <c r="D32" s="207">
        <v>0.01</v>
      </c>
      <c r="E32" s="26"/>
      <c r="F32" s="71">
        <v>0</v>
      </c>
      <c r="G32" s="71"/>
      <c r="H32" s="28">
        <f t="shared" si="6"/>
        <v>0</v>
      </c>
      <c r="I32" s="28"/>
      <c r="J32" s="13"/>
      <c r="K32" s="13"/>
      <c r="L32" s="3">
        <f>(L31)*0.01</f>
        <v>1022007.2000000001</v>
      </c>
      <c r="M32" s="28">
        <f>M31*0.035</f>
        <v>0</v>
      </c>
      <c r="N32" s="26">
        <f>N31</f>
        <v>0</v>
      </c>
      <c r="O32" s="26">
        <f>O31</f>
        <v>0</v>
      </c>
      <c r="P32" s="3">
        <f t="shared" si="14"/>
        <v>0</v>
      </c>
      <c r="Q32" s="17">
        <f t="shared" si="7"/>
        <v>1022007.2000000001</v>
      </c>
      <c r="R32" s="26" t="s">
        <v>142</v>
      </c>
      <c r="S32" s="26" t="s">
        <v>15</v>
      </c>
      <c r="T32" s="26" t="s">
        <v>52</v>
      </c>
      <c r="U32" s="34">
        <f>+U31</f>
        <v>45606</v>
      </c>
      <c r="V32" s="34">
        <f>+V31</f>
        <v>45635</v>
      </c>
      <c r="W32" s="79"/>
      <c r="X32" s="79"/>
      <c r="Y32" s="79"/>
      <c r="Z32" s="79"/>
      <c r="AA32" s="79"/>
      <c r="AB32" s="79"/>
      <c r="AC32" s="79"/>
      <c r="AD32" s="79"/>
      <c r="AE32" s="79"/>
      <c r="AF32" s="79"/>
      <c r="AG32" s="79"/>
      <c r="AH32" s="79"/>
      <c r="AI32" s="13"/>
      <c r="AJ32" s="80" t="s">
        <v>148</v>
      </c>
    </row>
    <row r="33" spans="1:81" ht="48" x14ac:dyDescent="0.35">
      <c r="A33" s="78"/>
      <c r="B33" s="37" t="s">
        <v>352</v>
      </c>
      <c r="C33" s="26" t="s">
        <v>279</v>
      </c>
      <c r="D33" s="206" t="s">
        <v>24</v>
      </c>
      <c r="E33" s="26"/>
      <c r="F33" s="71">
        <v>0</v>
      </c>
      <c r="G33" s="71"/>
      <c r="H33" s="28">
        <f>+E33-(F33+G33)</f>
        <v>0</v>
      </c>
      <c r="I33" s="28">
        <v>95000</v>
      </c>
      <c r="J33" s="26">
        <f>28*2</f>
        <v>56</v>
      </c>
      <c r="K33" s="26">
        <v>11</v>
      </c>
      <c r="L33" s="3">
        <f>+I33*K33*J33</f>
        <v>58520000</v>
      </c>
      <c r="M33" s="28"/>
      <c r="N33" s="26"/>
      <c r="O33" s="26"/>
      <c r="P33" s="3">
        <f>+M33*O33*N33</f>
        <v>0</v>
      </c>
      <c r="Q33" s="17">
        <f>P33+L33</f>
        <v>58520000</v>
      </c>
      <c r="R33" s="26" t="s">
        <v>142</v>
      </c>
      <c r="S33" s="26" t="s">
        <v>17</v>
      </c>
      <c r="T33" s="26" t="s">
        <v>52</v>
      </c>
      <c r="U33" s="34">
        <v>45598</v>
      </c>
      <c r="V33" s="34">
        <f>+U33+330</f>
        <v>45928</v>
      </c>
      <c r="W33" s="79"/>
      <c r="X33" s="79"/>
      <c r="Y33" s="79"/>
      <c r="Z33" s="79"/>
      <c r="AA33" s="79"/>
      <c r="AB33" s="79"/>
      <c r="AC33" s="79"/>
      <c r="AD33" s="79"/>
      <c r="AE33" s="79"/>
      <c r="AF33" s="79"/>
      <c r="AG33" s="79"/>
      <c r="AH33" s="79"/>
      <c r="AI33" s="13"/>
      <c r="AJ33" s="80" t="s">
        <v>148</v>
      </c>
      <c r="AK33" s="5">
        <f>+$I$33*35*3</f>
        <v>9975000</v>
      </c>
      <c r="AL33" s="5">
        <f>+$I$33*35*1</f>
        <v>3325000</v>
      </c>
      <c r="AM33" s="5">
        <f>+$I$33*35*1</f>
        <v>3325000</v>
      </c>
      <c r="AN33" s="5">
        <f t="shared" ref="AN33:AS33" si="15">+$I$33*35*1</f>
        <v>3325000</v>
      </c>
      <c r="AO33" s="5">
        <f t="shared" si="15"/>
        <v>3325000</v>
      </c>
      <c r="AP33" s="5">
        <f t="shared" si="15"/>
        <v>3325000</v>
      </c>
      <c r="AQ33" s="5">
        <f t="shared" si="15"/>
        <v>3325000</v>
      </c>
      <c r="AR33" s="5">
        <f t="shared" si="15"/>
        <v>3325000</v>
      </c>
      <c r="AS33" s="5">
        <f t="shared" si="15"/>
        <v>3325000</v>
      </c>
    </row>
    <row r="34" spans="1:81" ht="25" x14ac:dyDescent="0.35">
      <c r="A34" s="78"/>
      <c r="B34" s="37" t="s">
        <v>78</v>
      </c>
      <c r="C34" s="26" t="s">
        <v>20</v>
      </c>
      <c r="D34" s="207">
        <v>0.01</v>
      </c>
      <c r="E34" s="26"/>
      <c r="F34" s="71">
        <v>0</v>
      </c>
      <c r="G34" s="71"/>
      <c r="H34" s="28">
        <f>+E34-(F34+G34)</f>
        <v>0</v>
      </c>
      <c r="I34" s="28">
        <f>I33*0.01</f>
        <v>950</v>
      </c>
      <c r="J34" s="26">
        <f>J33</f>
        <v>56</v>
      </c>
      <c r="K34" s="26">
        <f>K33</f>
        <v>11</v>
      </c>
      <c r="L34" s="3">
        <f>L33*0.01</f>
        <v>585200</v>
      </c>
      <c r="M34" s="28">
        <f>M33*0.035</f>
        <v>0</v>
      </c>
      <c r="N34" s="26">
        <f>N33</f>
        <v>0</v>
      </c>
      <c r="O34" s="26">
        <f>O33</f>
        <v>0</v>
      </c>
      <c r="P34" s="3">
        <f>+M34*O34*N34</f>
        <v>0</v>
      </c>
      <c r="Q34" s="17">
        <f>P34+L34</f>
        <v>585200</v>
      </c>
      <c r="R34" s="26" t="s">
        <v>142</v>
      </c>
      <c r="S34" s="26" t="s">
        <v>15</v>
      </c>
      <c r="T34" s="26" t="s">
        <v>52</v>
      </c>
      <c r="U34" s="34">
        <f>+U33</f>
        <v>45598</v>
      </c>
      <c r="V34" s="34">
        <f>+V33</f>
        <v>45928</v>
      </c>
      <c r="W34" s="79"/>
      <c r="X34" s="79"/>
      <c r="Y34" s="79"/>
      <c r="Z34" s="79"/>
      <c r="AA34" s="79"/>
      <c r="AB34" s="79"/>
      <c r="AC34" s="79"/>
      <c r="AD34" s="79"/>
      <c r="AE34" s="79"/>
      <c r="AF34" s="79"/>
      <c r="AG34" s="79"/>
      <c r="AH34" s="79"/>
      <c r="AI34" s="13"/>
      <c r="AJ34" s="80" t="s">
        <v>148</v>
      </c>
    </row>
    <row r="35" spans="1:81" s="6" customFormat="1" ht="34.5" x14ac:dyDescent="0.35">
      <c r="A35" s="81"/>
      <c r="B35" s="36" t="s">
        <v>353</v>
      </c>
      <c r="C35" s="1" t="s">
        <v>280</v>
      </c>
      <c r="D35" s="205" t="s">
        <v>203</v>
      </c>
      <c r="E35" s="1"/>
      <c r="F35" s="9">
        <v>0</v>
      </c>
      <c r="G35" s="9"/>
      <c r="H35" s="2">
        <f t="shared" si="6"/>
        <v>0</v>
      </c>
      <c r="I35" s="2">
        <f>10000*1.005</f>
        <v>10049.999999999998</v>
      </c>
      <c r="J35" s="1">
        <v>28</v>
      </c>
      <c r="K35" s="1">
        <v>1</v>
      </c>
      <c r="L35" s="3">
        <f t="shared" si="13"/>
        <v>281399.99999999994</v>
      </c>
      <c r="M35" s="28">
        <f>10000*1.005</f>
        <v>10049.999999999998</v>
      </c>
      <c r="N35" s="26">
        <v>28</v>
      </c>
      <c r="O35" s="26">
        <v>7</v>
      </c>
      <c r="P35" s="3">
        <f t="shared" si="14"/>
        <v>1969799.9999999995</v>
      </c>
      <c r="Q35" s="17">
        <f t="shared" si="7"/>
        <v>2251199.9999999995</v>
      </c>
      <c r="R35" s="1" t="s">
        <v>142</v>
      </c>
      <c r="S35" s="1" t="s">
        <v>59</v>
      </c>
      <c r="T35" s="1" t="s">
        <v>52</v>
      </c>
      <c r="U35" s="33">
        <v>45627</v>
      </c>
      <c r="V35" s="33">
        <f>U35+240</f>
        <v>45867</v>
      </c>
      <c r="W35" s="12"/>
      <c r="X35" s="12"/>
      <c r="Y35" s="12"/>
      <c r="Z35" s="12"/>
      <c r="AA35" s="12"/>
      <c r="AB35" s="12"/>
      <c r="AC35" s="12"/>
      <c r="AD35" s="12"/>
      <c r="AE35" s="12"/>
      <c r="AF35" s="12"/>
      <c r="AG35" s="12"/>
      <c r="AH35" s="12"/>
      <c r="AI35" s="13"/>
      <c r="AJ35" s="80" t="s">
        <v>148</v>
      </c>
      <c r="AK35" s="5"/>
      <c r="AL35" s="5">
        <f>+M35*N35*3</f>
        <v>844199.99999999977</v>
      </c>
      <c r="AM35" s="4"/>
      <c r="AN35" s="4"/>
      <c r="AO35" s="4"/>
      <c r="AP35" s="4">
        <f>+AL35</f>
        <v>844199.99999999977</v>
      </c>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row>
    <row r="36" spans="1:81" s="6" customFormat="1" ht="44.25" customHeight="1" x14ac:dyDescent="0.35">
      <c r="A36" s="81"/>
      <c r="B36" s="36" t="s">
        <v>354</v>
      </c>
      <c r="C36" s="157" t="s">
        <v>280</v>
      </c>
      <c r="D36" s="205" t="s">
        <v>180</v>
      </c>
      <c r="E36" s="157"/>
      <c r="F36" s="9">
        <v>0</v>
      </c>
      <c r="G36" s="9"/>
      <c r="H36" s="2">
        <f t="shared" si="6"/>
        <v>0</v>
      </c>
      <c r="I36" s="2">
        <f>37500*1.005</f>
        <v>37687.499999999993</v>
      </c>
      <c r="J36" s="1">
        <v>6</v>
      </c>
      <c r="K36" s="1">
        <v>1</v>
      </c>
      <c r="L36" s="3">
        <f t="shared" si="13"/>
        <v>226124.99999999994</v>
      </c>
      <c r="M36" s="28">
        <v>37500</v>
      </c>
      <c r="N36" s="26">
        <v>6</v>
      </c>
      <c r="O36" s="26">
        <v>3</v>
      </c>
      <c r="P36" s="3">
        <f t="shared" si="14"/>
        <v>675000</v>
      </c>
      <c r="Q36" s="17">
        <f t="shared" si="7"/>
        <v>901125</v>
      </c>
      <c r="R36" s="1" t="s">
        <v>142</v>
      </c>
      <c r="S36" s="1" t="s">
        <v>15</v>
      </c>
      <c r="T36" s="1" t="s">
        <v>52</v>
      </c>
      <c r="U36" s="33">
        <v>45627</v>
      </c>
      <c r="V36" s="33">
        <f>U36+240</f>
        <v>45867</v>
      </c>
      <c r="W36" s="12"/>
      <c r="X36" s="12"/>
      <c r="Y36" s="12"/>
      <c r="Z36" s="12"/>
      <c r="AA36" s="12"/>
      <c r="AB36" s="12"/>
      <c r="AC36" s="12"/>
      <c r="AD36" s="12"/>
      <c r="AE36" s="12"/>
      <c r="AF36" s="12"/>
      <c r="AG36" s="12"/>
      <c r="AH36" s="12"/>
      <c r="AI36" s="13"/>
      <c r="AJ36" s="80" t="s">
        <v>148</v>
      </c>
      <c r="AK36" s="5"/>
      <c r="AL36" s="330">
        <f>+P36</f>
        <v>675000</v>
      </c>
      <c r="AM36" s="4"/>
      <c r="AN36" s="4"/>
      <c r="AO36" s="4"/>
      <c r="AP36" s="331">
        <f>+P36</f>
        <v>675000</v>
      </c>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row>
    <row r="37" spans="1:81" s="6" customFormat="1" ht="25" x14ac:dyDescent="0.35">
      <c r="A37" s="81"/>
      <c r="B37" s="36" t="s">
        <v>204</v>
      </c>
      <c r="C37" s="157" t="s">
        <v>77</v>
      </c>
      <c r="D37" s="205" t="s">
        <v>181</v>
      </c>
      <c r="E37" s="157"/>
      <c r="F37" s="9">
        <v>0</v>
      </c>
      <c r="G37" s="9"/>
      <c r="H37" s="2">
        <f t="shared" si="6"/>
        <v>0</v>
      </c>
      <c r="I37" s="2">
        <v>90000</v>
      </c>
      <c r="J37" s="1">
        <f>3*4*10</f>
        <v>120</v>
      </c>
      <c r="K37" s="1">
        <v>1</v>
      </c>
      <c r="L37" s="3">
        <f t="shared" si="13"/>
        <v>10800000</v>
      </c>
      <c r="M37" s="28">
        <v>90000</v>
      </c>
      <c r="N37" s="26">
        <f>3*4*10</f>
        <v>120</v>
      </c>
      <c r="O37" s="26">
        <v>2</v>
      </c>
      <c r="P37" s="3">
        <f t="shared" si="14"/>
        <v>21600000</v>
      </c>
      <c r="Q37" s="17">
        <f t="shared" si="7"/>
        <v>32400000</v>
      </c>
      <c r="R37" s="1" t="s">
        <v>251</v>
      </c>
      <c r="S37" s="1" t="s">
        <v>15</v>
      </c>
      <c r="T37" s="1" t="s">
        <v>52</v>
      </c>
      <c r="U37" s="33">
        <v>45580</v>
      </c>
      <c r="V37" s="33">
        <f>U37+300</f>
        <v>45880</v>
      </c>
      <c r="W37" s="12"/>
      <c r="X37" s="12"/>
      <c r="Y37" s="12"/>
      <c r="Z37" s="12"/>
      <c r="AA37" s="12"/>
      <c r="AB37" s="12"/>
      <c r="AC37" s="12"/>
      <c r="AD37" s="12"/>
      <c r="AE37" s="12"/>
      <c r="AF37" s="12"/>
      <c r="AG37" s="12"/>
      <c r="AH37" s="12"/>
      <c r="AI37" s="13"/>
      <c r="AJ37" s="80" t="s">
        <v>148</v>
      </c>
      <c r="AK37" s="330">
        <f>+L37</f>
        <v>10800000</v>
      </c>
      <c r="AL37" s="5"/>
      <c r="AM37" s="4"/>
      <c r="AN37" s="4"/>
      <c r="AO37" s="4"/>
      <c r="AP37" s="331">
        <f>+AK37</f>
        <v>10800000</v>
      </c>
      <c r="AQ37" s="4"/>
      <c r="AR37" s="4"/>
      <c r="AS37" s="331">
        <f>+AK37</f>
        <v>10800000</v>
      </c>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row>
    <row r="38" spans="1:81" ht="25" x14ac:dyDescent="0.35">
      <c r="A38" s="78"/>
      <c r="B38" s="37" t="s">
        <v>182</v>
      </c>
      <c r="C38" s="26" t="s">
        <v>18</v>
      </c>
      <c r="D38" s="206" t="s">
        <v>19</v>
      </c>
      <c r="E38" s="87"/>
      <c r="F38" s="71">
        <v>0</v>
      </c>
      <c r="G38" s="71"/>
      <c r="H38" s="28">
        <f t="shared" si="6"/>
        <v>0</v>
      </c>
      <c r="I38" s="28"/>
      <c r="J38" s="26"/>
      <c r="K38" s="26"/>
      <c r="L38" s="3">
        <f t="shared" si="13"/>
        <v>0</v>
      </c>
      <c r="M38" s="28">
        <v>90000</v>
      </c>
      <c r="N38" s="26">
        <f>6+3+4+3+3+3+4+2+3+5*6</f>
        <v>61</v>
      </c>
      <c r="O38" s="26">
        <v>6</v>
      </c>
      <c r="P38" s="3">
        <f t="shared" si="14"/>
        <v>32940000</v>
      </c>
      <c r="Q38" s="17">
        <f t="shared" si="7"/>
        <v>32940000</v>
      </c>
      <c r="R38" s="26" t="s">
        <v>251</v>
      </c>
      <c r="S38" s="26" t="s">
        <v>15</v>
      </c>
      <c r="T38" s="26" t="s">
        <v>52</v>
      </c>
      <c r="U38" s="34">
        <v>45823</v>
      </c>
      <c r="V38" s="34">
        <f>U38+45</f>
        <v>45868</v>
      </c>
      <c r="W38" s="79"/>
      <c r="X38" s="79"/>
      <c r="Y38" s="79"/>
      <c r="Z38" s="79"/>
      <c r="AA38" s="79"/>
      <c r="AB38" s="79"/>
      <c r="AC38" s="79"/>
      <c r="AD38" s="79"/>
      <c r="AE38" s="79"/>
      <c r="AF38" s="79"/>
      <c r="AG38" s="79"/>
      <c r="AH38" s="79"/>
      <c r="AI38" s="13"/>
      <c r="AJ38" s="80" t="s">
        <v>148</v>
      </c>
      <c r="AQ38" s="331">
        <f>+Q38</f>
        <v>32940000</v>
      </c>
    </row>
    <row r="39" spans="1:81" s="155" customFormat="1" ht="26.75" customHeight="1" x14ac:dyDescent="0.35">
      <c r="A39" s="144" t="s">
        <v>26</v>
      </c>
      <c r="B39" s="145" t="s">
        <v>27</v>
      </c>
      <c r="C39" s="32"/>
      <c r="D39" s="208"/>
      <c r="E39" s="31">
        <f>SUM(E40:E51)</f>
        <v>165628813</v>
      </c>
      <c r="F39" s="31">
        <f t="shared" ref="F39:H39" si="16">SUM(F40:F51)</f>
        <v>66500000</v>
      </c>
      <c r="G39" s="31">
        <f t="shared" si="16"/>
        <v>9228400</v>
      </c>
      <c r="H39" s="31">
        <f t="shared" si="16"/>
        <v>89900413</v>
      </c>
      <c r="I39" s="147"/>
      <c r="J39" s="32"/>
      <c r="K39" s="148"/>
      <c r="L39" s="31">
        <f>SUM(L40:L51)</f>
        <v>229666365</v>
      </c>
      <c r="M39" s="122"/>
      <c r="N39" s="158"/>
      <c r="O39" s="88"/>
      <c r="P39" s="31">
        <f t="shared" ref="P39:Q39" si="17">SUM(P40:P51)</f>
        <v>2447775</v>
      </c>
      <c r="Q39" s="31">
        <f t="shared" si="17"/>
        <v>232114140</v>
      </c>
      <c r="R39" s="149"/>
      <c r="S39" s="149"/>
      <c r="T39" s="149"/>
      <c r="U39" s="151"/>
      <c r="V39" s="151"/>
      <c r="W39" s="151"/>
      <c r="X39" s="151"/>
      <c r="Y39" s="151"/>
      <c r="Z39" s="151"/>
      <c r="AA39" s="151"/>
      <c r="AB39" s="151"/>
      <c r="AC39" s="151"/>
      <c r="AD39" s="151"/>
      <c r="AE39" s="151"/>
      <c r="AF39" s="151"/>
      <c r="AG39" s="151"/>
      <c r="AH39" s="151"/>
      <c r="AI39" s="152"/>
      <c r="AJ39" s="153"/>
      <c r="AK39" s="31">
        <f t="shared" ref="AK39:AW39" si="18">SUM(AK40:AK51)</f>
        <v>0</v>
      </c>
      <c r="AL39" s="31">
        <f t="shared" si="18"/>
        <v>0</v>
      </c>
      <c r="AM39" s="31">
        <f t="shared" si="18"/>
        <v>0</v>
      </c>
      <c r="AN39" s="31">
        <f t="shared" si="18"/>
        <v>0</v>
      </c>
      <c r="AO39" s="31">
        <f t="shared" si="18"/>
        <v>0</v>
      </c>
      <c r="AP39" s="31">
        <f t="shared" si="18"/>
        <v>0</v>
      </c>
      <c r="AQ39" s="31">
        <f t="shared" si="18"/>
        <v>9500000</v>
      </c>
      <c r="AR39" s="31">
        <f t="shared" si="18"/>
        <v>0</v>
      </c>
      <c r="AS39" s="31">
        <f t="shared" si="18"/>
        <v>0</v>
      </c>
      <c r="AT39" s="31">
        <f t="shared" si="18"/>
        <v>0</v>
      </c>
      <c r="AU39" s="31">
        <f t="shared" si="18"/>
        <v>22950000</v>
      </c>
      <c r="AV39" s="31">
        <f t="shared" si="18"/>
        <v>0</v>
      </c>
      <c r="AW39" s="31">
        <f t="shared" si="18"/>
        <v>0</v>
      </c>
    </row>
    <row r="40" spans="1:81" s="258" customFormat="1" ht="32" x14ac:dyDescent="0.35">
      <c r="A40" s="250"/>
      <c r="B40" s="251" t="s">
        <v>434</v>
      </c>
      <c r="C40" s="252" t="s">
        <v>279</v>
      </c>
      <c r="D40" s="253" t="s">
        <v>14</v>
      </c>
      <c r="E40" s="255">
        <v>95000000</v>
      </c>
      <c r="F40" s="254">
        <v>66500000</v>
      </c>
      <c r="G40" s="254"/>
      <c r="H40" s="255">
        <f t="shared" si="6"/>
        <v>28500000</v>
      </c>
      <c r="I40" s="255"/>
      <c r="J40" s="252"/>
      <c r="K40" s="252"/>
      <c r="L40" s="240">
        <f>+I40*K40*J40</f>
        <v>0</v>
      </c>
      <c r="M40" s="238"/>
      <c r="N40" s="236"/>
      <c r="O40" s="236"/>
      <c r="P40" s="240">
        <f>+M40*O40*N40</f>
        <v>0</v>
      </c>
      <c r="Q40" s="241">
        <f t="shared" si="7"/>
        <v>0</v>
      </c>
      <c r="R40" s="257" t="s">
        <v>156</v>
      </c>
      <c r="S40" s="252" t="s">
        <v>17</v>
      </c>
      <c r="T40" s="252" t="s">
        <v>90</v>
      </c>
      <c r="U40" s="256">
        <v>45413</v>
      </c>
      <c r="V40" s="256">
        <f>+U40+365</f>
        <v>45778</v>
      </c>
      <c r="W40" s="257"/>
      <c r="X40" s="257"/>
      <c r="Y40" s="257"/>
      <c r="Z40" s="257"/>
      <c r="AA40" s="257"/>
      <c r="AB40" s="257"/>
      <c r="AC40" s="257"/>
      <c r="AD40" s="257"/>
      <c r="AE40" s="257"/>
      <c r="AF40" s="257"/>
      <c r="AG40" s="257"/>
      <c r="AH40" s="257"/>
      <c r="AI40" s="244"/>
      <c r="AJ40" s="245" t="s">
        <v>150</v>
      </c>
      <c r="AK40" s="248"/>
      <c r="AL40" s="248"/>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c r="BK40" s="249"/>
      <c r="BL40" s="249"/>
      <c r="BM40" s="249"/>
      <c r="BN40" s="249"/>
      <c r="BO40" s="249"/>
      <c r="BP40" s="249"/>
      <c r="BQ40" s="249"/>
      <c r="BR40" s="249"/>
      <c r="BS40" s="249"/>
      <c r="BT40" s="249"/>
      <c r="BU40" s="249"/>
      <c r="BV40" s="249"/>
      <c r="BW40" s="249"/>
      <c r="BX40" s="249"/>
      <c r="BY40" s="249"/>
      <c r="BZ40" s="249"/>
      <c r="CA40" s="249"/>
      <c r="CB40" s="249"/>
      <c r="CC40" s="249"/>
    </row>
    <row r="41" spans="1:81" s="261" customFormat="1" ht="32" x14ac:dyDescent="0.35">
      <c r="A41" s="250"/>
      <c r="B41" s="251" t="s">
        <v>355</v>
      </c>
      <c r="C41" s="252" t="s">
        <v>77</v>
      </c>
      <c r="D41" s="253" t="s">
        <v>28</v>
      </c>
      <c r="E41" s="255">
        <v>61054900</v>
      </c>
      <c r="F41" s="254">
        <v>0</v>
      </c>
      <c r="G41" s="254">
        <v>7040000</v>
      </c>
      <c r="H41" s="255">
        <f t="shared" si="6"/>
        <v>54014900</v>
      </c>
      <c r="I41" s="255"/>
      <c r="J41" s="252"/>
      <c r="K41" s="252"/>
      <c r="L41" s="240">
        <f>+I41*K41*J41</f>
        <v>0</v>
      </c>
      <c r="M41" s="238"/>
      <c r="N41" s="236"/>
      <c r="O41" s="236"/>
      <c r="P41" s="240">
        <f>+M41*O41*N41</f>
        <v>0</v>
      </c>
      <c r="Q41" s="241">
        <f t="shared" si="7"/>
        <v>0</v>
      </c>
      <c r="R41" s="257" t="s">
        <v>156</v>
      </c>
      <c r="S41" s="252" t="s">
        <v>17</v>
      </c>
      <c r="T41" s="252" t="s">
        <v>90</v>
      </c>
      <c r="U41" s="256">
        <v>45557</v>
      </c>
      <c r="V41" s="256">
        <f>+U41+20</f>
        <v>45577</v>
      </c>
      <c r="W41" s="257"/>
      <c r="X41" s="257"/>
      <c r="Y41" s="257"/>
      <c r="Z41" s="257"/>
      <c r="AA41" s="257"/>
      <c r="AB41" s="257"/>
      <c r="AC41" s="257"/>
      <c r="AD41" s="257"/>
      <c r="AE41" s="257"/>
      <c r="AF41" s="257"/>
      <c r="AG41" s="257"/>
      <c r="AH41" s="257"/>
      <c r="AI41" s="244"/>
      <c r="AJ41" s="244" t="s">
        <v>150</v>
      </c>
      <c r="AK41" s="259"/>
      <c r="AL41" s="260"/>
      <c r="AM41" s="244"/>
      <c r="AN41" s="244"/>
      <c r="AO41" s="244"/>
      <c r="AP41" s="244"/>
      <c r="AQ41" s="244">
        <v>9500000</v>
      </c>
      <c r="AR41" s="244"/>
      <c r="AS41" s="244"/>
      <c r="AT41" s="244"/>
      <c r="AU41" s="244"/>
      <c r="AV41" s="244"/>
      <c r="AW41" s="244"/>
      <c r="AX41" s="244"/>
      <c r="AY41" s="244"/>
      <c r="AZ41" s="244"/>
      <c r="BA41" s="244"/>
      <c r="BB41" s="244"/>
      <c r="BC41" s="244"/>
      <c r="BD41" s="244"/>
      <c r="BE41" s="244"/>
      <c r="BF41" s="244"/>
      <c r="BG41" s="244"/>
      <c r="BH41" s="244"/>
      <c r="BI41" s="244"/>
      <c r="BJ41" s="244"/>
      <c r="BK41" s="244"/>
      <c r="BL41" s="244"/>
      <c r="BM41" s="244"/>
      <c r="BN41" s="244"/>
      <c r="BO41" s="244"/>
      <c r="BP41" s="244"/>
      <c r="BQ41" s="244"/>
      <c r="BR41" s="244"/>
      <c r="BS41" s="244"/>
      <c r="BT41" s="244"/>
      <c r="BU41" s="244"/>
      <c r="BV41" s="244"/>
      <c r="BW41" s="244"/>
      <c r="BX41" s="244"/>
      <c r="BY41" s="244"/>
      <c r="BZ41" s="244"/>
      <c r="CA41" s="244"/>
      <c r="CB41" s="244"/>
      <c r="CC41" s="244"/>
    </row>
    <row r="42" spans="1:81" s="261" customFormat="1" ht="32" x14ac:dyDescent="0.35">
      <c r="A42" s="250"/>
      <c r="B42" s="251" t="s">
        <v>356</v>
      </c>
      <c r="C42" s="252" t="s">
        <v>18</v>
      </c>
      <c r="D42" s="253" t="s">
        <v>111</v>
      </c>
      <c r="E42" s="255">
        <v>9573913</v>
      </c>
      <c r="F42" s="254">
        <v>0</v>
      </c>
      <c r="G42" s="254">
        <v>2188400</v>
      </c>
      <c r="H42" s="255">
        <f>+E42-(F42+G42)</f>
        <v>7385513</v>
      </c>
      <c r="I42" s="255"/>
      <c r="J42" s="252"/>
      <c r="K42" s="252"/>
      <c r="L42" s="240">
        <f>+I42*K42*J42</f>
        <v>0</v>
      </c>
      <c r="M42" s="238"/>
      <c r="N42" s="236"/>
      <c r="O42" s="236"/>
      <c r="P42" s="240">
        <f>+M42*O42*N42</f>
        <v>0</v>
      </c>
      <c r="Q42" s="241">
        <f>P42+L42</f>
        <v>0</v>
      </c>
      <c r="R42" s="257" t="s">
        <v>156</v>
      </c>
      <c r="S42" s="252" t="s">
        <v>17</v>
      </c>
      <c r="T42" s="252" t="s">
        <v>90</v>
      </c>
      <c r="U42" s="256">
        <v>45551</v>
      </c>
      <c r="V42" s="256">
        <f>U42+5</f>
        <v>45556</v>
      </c>
      <c r="W42" s="257"/>
      <c r="X42" s="257"/>
      <c r="Y42" s="257"/>
      <c r="Z42" s="257"/>
      <c r="AA42" s="257"/>
      <c r="AB42" s="257"/>
      <c r="AC42" s="257"/>
      <c r="AD42" s="257"/>
      <c r="AE42" s="257"/>
      <c r="AF42" s="257"/>
      <c r="AG42" s="257"/>
      <c r="AH42" s="257"/>
      <c r="AI42" s="244"/>
      <c r="AJ42" s="244" t="s">
        <v>151</v>
      </c>
      <c r="AK42" s="259"/>
      <c r="AL42" s="260"/>
      <c r="AM42" s="244"/>
      <c r="AN42" s="244"/>
      <c r="AO42" s="244"/>
      <c r="AP42" s="244"/>
      <c r="AQ42" s="244"/>
      <c r="AR42" s="244"/>
      <c r="AS42" s="244"/>
      <c r="AT42" s="244"/>
      <c r="AU42" s="244"/>
      <c r="AV42" s="244"/>
      <c r="AW42" s="244"/>
      <c r="AX42" s="244"/>
      <c r="AY42" s="244"/>
      <c r="AZ42" s="244"/>
      <c r="BA42" s="244"/>
      <c r="BB42" s="244"/>
      <c r="BC42" s="244"/>
      <c r="BD42" s="244"/>
      <c r="BE42" s="244"/>
      <c r="BF42" s="244"/>
      <c r="BG42" s="244"/>
      <c r="BH42" s="244"/>
      <c r="BI42" s="244"/>
      <c r="BJ42" s="244"/>
      <c r="BK42" s="244"/>
      <c r="BL42" s="244"/>
      <c r="BM42" s="244"/>
      <c r="BN42" s="244"/>
      <c r="BO42" s="244"/>
      <c r="BP42" s="244"/>
      <c r="BQ42" s="244"/>
      <c r="BR42" s="244"/>
      <c r="BS42" s="244"/>
      <c r="BT42" s="244"/>
      <c r="BU42" s="244"/>
      <c r="BV42" s="244"/>
      <c r="BW42" s="244"/>
      <c r="BX42" s="244"/>
      <c r="BY42" s="244"/>
      <c r="BZ42" s="244"/>
      <c r="CA42" s="244"/>
      <c r="CB42" s="244"/>
      <c r="CC42" s="244"/>
    </row>
    <row r="43" spans="1:81" s="6" customFormat="1" ht="34.9" customHeight="1" x14ac:dyDescent="0.35">
      <c r="A43" s="11"/>
      <c r="B43" s="36" t="s">
        <v>357</v>
      </c>
      <c r="C43" s="1" t="s">
        <v>117</v>
      </c>
      <c r="D43" s="205" t="s">
        <v>118</v>
      </c>
      <c r="E43" s="1"/>
      <c r="F43" s="9">
        <v>0</v>
      </c>
      <c r="G43" s="9"/>
      <c r="H43" s="2">
        <f t="shared" si="6"/>
        <v>0</v>
      </c>
      <c r="I43" s="2">
        <f>1770000*1.8</f>
        <v>3186000</v>
      </c>
      <c r="J43" s="1">
        <v>10</v>
      </c>
      <c r="K43" s="1">
        <v>1</v>
      </c>
      <c r="L43" s="3">
        <f>+I43*K43*J43</f>
        <v>31860000</v>
      </c>
      <c r="M43" s="28"/>
      <c r="N43" s="26"/>
      <c r="O43" s="26"/>
      <c r="P43" s="3">
        <f>+M43*O43*N43</f>
        <v>0</v>
      </c>
      <c r="Q43" s="17">
        <f t="shared" si="7"/>
        <v>31860000</v>
      </c>
      <c r="R43" s="12" t="s">
        <v>156</v>
      </c>
      <c r="S43" s="1" t="s">
        <v>17</v>
      </c>
      <c r="T43" s="1" t="s">
        <v>90</v>
      </c>
      <c r="U43" s="33">
        <v>45572</v>
      </c>
      <c r="V43" s="33">
        <f>+U43+30</f>
        <v>45602</v>
      </c>
      <c r="W43" s="12"/>
      <c r="X43" s="12"/>
      <c r="Y43" s="12"/>
      <c r="Z43" s="12"/>
      <c r="AA43" s="12"/>
      <c r="AB43" s="12"/>
      <c r="AC43" s="12"/>
      <c r="AD43" s="13"/>
      <c r="AE43" s="14"/>
      <c r="AF43" s="14"/>
      <c r="AG43" s="14"/>
      <c r="AH43" s="13"/>
      <c r="AI43" s="13"/>
      <c r="AJ43" s="13" t="s">
        <v>183</v>
      </c>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row>
    <row r="44" spans="1:81" ht="34.9" customHeight="1" x14ac:dyDescent="0.35">
      <c r="A44" s="78"/>
      <c r="B44" s="37" t="s">
        <v>116</v>
      </c>
      <c r="C44" s="26" t="s">
        <v>18</v>
      </c>
      <c r="D44" s="206" t="s">
        <v>111</v>
      </c>
      <c r="E44" s="26"/>
      <c r="F44" s="71">
        <v>0</v>
      </c>
      <c r="G44" s="71"/>
      <c r="H44" s="28">
        <f t="shared" si="6"/>
        <v>0</v>
      </c>
      <c r="I44" s="28">
        <v>93000</v>
      </c>
      <c r="J44" s="26">
        <f>15*7</f>
        <v>105</v>
      </c>
      <c r="K44" s="26">
        <v>1</v>
      </c>
      <c r="L44" s="3">
        <f>I44*J44*K44</f>
        <v>9765000</v>
      </c>
      <c r="M44" s="28"/>
      <c r="N44" s="26"/>
      <c r="O44" s="26"/>
      <c r="P44" s="3">
        <f>M44*N44*O44</f>
        <v>0</v>
      </c>
      <c r="Q44" s="17">
        <f t="shared" si="7"/>
        <v>9765000</v>
      </c>
      <c r="R44" s="79" t="s">
        <v>156</v>
      </c>
      <c r="S44" s="26" t="s">
        <v>17</v>
      </c>
      <c r="T44" s="26" t="s">
        <v>90</v>
      </c>
      <c r="U44" s="34">
        <f>+V43+15</f>
        <v>45617</v>
      </c>
      <c r="V44" s="34">
        <f>U44+30</f>
        <v>45647</v>
      </c>
      <c r="W44" s="79"/>
      <c r="X44" s="79"/>
      <c r="Y44" s="79"/>
      <c r="Z44" s="79"/>
      <c r="AA44" s="79"/>
      <c r="AB44" s="79"/>
      <c r="AC44" s="79"/>
      <c r="AD44" s="13"/>
      <c r="AE44" s="14"/>
      <c r="AF44" s="14"/>
      <c r="AG44" s="14"/>
      <c r="AH44" s="13"/>
      <c r="AI44" s="13"/>
      <c r="AJ44" s="13" t="s">
        <v>148</v>
      </c>
      <c r="AK44" s="4"/>
      <c r="AL44" s="4"/>
    </row>
    <row r="45" spans="1:81" s="261" customFormat="1" ht="32" x14ac:dyDescent="0.35">
      <c r="A45" s="250"/>
      <c r="B45" s="251" t="s">
        <v>332</v>
      </c>
      <c r="C45" s="252" t="s">
        <v>18</v>
      </c>
      <c r="D45" s="253" t="s">
        <v>111</v>
      </c>
      <c r="E45" s="255"/>
      <c r="F45" s="254">
        <v>0</v>
      </c>
      <c r="G45" s="254"/>
      <c r="H45" s="255">
        <f>+E45-(F45+G45)</f>
        <v>0</v>
      </c>
      <c r="I45" s="255"/>
      <c r="J45" s="252"/>
      <c r="K45" s="252"/>
      <c r="L45" s="240">
        <f>+I45*K45*J45</f>
        <v>0</v>
      </c>
      <c r="M45" s="238"/>
      <c r="N45" s="236"/>
      <c r="O45" s="236"/>
      <c r="P45" s="240">
        <f>+M45*O45*N45</f>
        <v>0</v>
      </c>
      <c r="Q45" s="241">
        <f>P45+L45</f>
        <v>0</v>
      </c>
      <c r="R45" s="257" t="s">
        <v>156</v>
      </c>
      <c r="S45" s="252" t="s">
        <v>17</v>
      </c>
      <c r="T45" s="252" t="s">
        <v>90</v>
      </c>
      <c r="U45" s="256">
        <v>45551</v>
      </c>
      <c r="V45" s="256">
        <f>U45+5</f>
        <v>45556</v>
      </c>
      <c r="W45" s="257"/>
      <c r="X45" s="257"/>
      <c r="Y45" s="257"/>
      <c r="Z45" s="257"/>
      <c r="AA45" s="257"/>
      <c r="AB45" s="257"/>
      <c r="AC45" s="257"/>
      <c r="AD45" s="257"/>
      <c r="AE45" s="257"/>
      <c r="AF45" s="257"/>
      <c r="AG45" s="257"/>
      <c r="AH45" s="257"/>
      <c r="AI45" s="244"/>
      <c r="AJ45" s="244" t="s">
        <v>151</v>
      </c>
      <c r="AK45" s="259"/>
      <c r="AL45" s="260"/>
      <c r="AM45" s="244"/>
      <c r="AN45" s="244"/>
      <c r="AO45" s="244"/>
      <c r="AP45" s="244"/>
      <c r="AQ45" s="244"/>
      <c r="AR45" s="244"/>
      <c r="AS45" s="244"/>
      <c r="AT45" s="244"/>
      <c r="AU45" s="244"/>
      <c r="AV45" s="244"/>
      <c r="AW45" s="244"/>
      <c r="AX45" s="244"/>
      <c r="AY45" s="244"/>
      <c r="AZ45" s="244"/>
      <c r="BA45" s="244"/>
      <c r="BB45" s="244"/>
      <c r="BC45" s="244"/>
      <c r="BD45" s="244"/>
      <c r="BE45" s="244"/>
      <c r="BF45" s="244"/>
      <c r="BG45" s="244"/>
      <c r="BH45" s="244"/>
      <c r="BI45" s="244"/>
      <c r="BJ45" s="244"/>
      <c r="BK45" s="244"/>
      <c r="BL45" s="244"/>
      <c r="BM45" s="244"/>
      <c r="BN45" s="244"/>
      <c r="BO45" s="244"/>
      <c r="BP45" s="244"/>
      <c r="BQ45" s="244"/>
      <c r="BR45" s="244"/>
      <c r="BS45" s="244"/>
      <c r="BT45" s="244"/>
      <c r="BU45" s="244"/>
      <c r="BV45" s="244"/>
      <c r="BW45" s="244"/>
      <c r="BX45" s="244"/>
      <c r="BY45" s="244"/>
      <c r="BZ45" s="244"/>
      <c r="CA45" s="244"/>
      <c r="CB45" s="244"/>
      <c r="CC45" s="244"/>
    </row>
    <row r="46" spans="1:81" s="258" customFormat="1" ht="32" x14ac:dyDescent="0.35">
      <c r="A46" s="250"/>
      <c r="B46" s="251" t="s">
        <v>358</v>
      </c>
      <c r="C46" s="252" t="s">
        <v>280</v>
      </c>
      <c r="D46" s="253" t="s">
        <v>185</v>
      </c>
      <c r="E46" s="252"/>
      <c r="F46" s="254">
        <v>0</v>
      </c>
      <c r="G46" s="254"/>
      <c r="H46" s="255">
        <f t="shared" si="6"/>
        <v>0</v>
      </c>
      <c r="I46" s="255">
        <f>85146381/41</f>
        <v>2076741</v>
      </c>
      <c r="J46" s="252">
        <v>41</v>
      </c>
      <c r="K46" s="252">
        <v>1</v>
      </c>
      <c r="L46" s="240">
        <f>I46*J46*K46</f>
        <v>85146381</v>
      </c>
      <c r="M46" s="238"/>
      <c r="N46" s="236"/>
      <c r="O46" s="236"/>
      <c r="P46" s="240">
        <f>M46*N46*O46</f>
        <v>0</v>
      </c>
      <c r="Q46" s="241">
        <f t="shared" si="7"/>
        <v>85146381</v>
      </c>
      <c r="R46" s="257" t="s">
        <v>156</v>
      </c>
      <c r="S46" s="252" t="s">
        <v>17</v>
      </c>
      <c r="T46" s="252" t="s">
        <v>90</v>
      </c>
      <c r="U46" s="256">
        <v>45513</v>
      </c>
      <c r="V46" s="256">
        <f>U46+90</f>
        <v>45603</v>
      </c>
      <c r="W46" s="257"/>
      <c r="X46" s="257"/>
      <c r="Y46" s="257"/>
      <c r="Z46" s="257"/>
      <c r="AA46" s="257"/>
      <c r="AB46" s="257"/>
      <c r="AC46" s="257"/>
      <c r="AD46" s="244"/>
      <c r="AE46" s="260"/>
      <c r="AF46" s="260"/>
      <c r="AG46" s="260"/>
      <c r="AH46" s="244"/>
      <c r="AI46" s="244"/>
      <c r="AJ46" s="244" t="s">
        <v>184</v>
      </c>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c r="BJ46" s="249"/>
      <c r="BK46" s="249"/>
      <c r="BL46" s="249"/>
      <c r="BM46" s="249"/>
      <c r="BN46" s="249"/>
      <c r="BO46" s="249"/>
      <c r="BP46" s="249"/>
      <c r="BQ46" s="249"/>
      <c r="BR46" s="249"/>
      <c r="BS46" s="249"/>
      <c r="BT46" s="249"/>
      <c r="BU46" s="249"/>
      <c r="BV46" s="249"/>
      <c r="BW46" s="249"/>
      <c r="BX46" s="249"/>
    </row>
    <row r="47" spans="1:81" ht="32" x14ac:dyDescent="0.35">
      <c r="A47" s="78"/>
      <c r="B47" s="37" t="s">
        <v>79</v>
      </c>
      <c r="C47" s="26" t="s">
        <v>335</v>
      </c>
      <c r="D47" s="206" t="s">
        <v>30</v>
      </c>
      <c r="E47" s="26"/>
      <c r="F47" s="71">
        <v>0</v>
      </c>
      <c r="G47" s="71"/>
      <c r="H47" s="28">
        <f>+E47-(F47+G47)</f>
        <v>0</v>
      </c>
      <c r="I47" s="28">
        <v>85000</v>
      </c>
      <c r="J47" s="26">
        <f>30*3</f>
        <v>90</v>
      </c>
      <c r="K47" s="26">
        <v>3</v>
      </c>
      <c r="L47" s="3">
        <f>+I47*K47*J47</f>
        <v>22950000</v>
      </c>
      <c r="M47" s="28">
        <v>0</v>
      </c>
      <c r="N47" s="26"/>
      <c r="O47" s="26"/>
      <c r="P47" s="3">
        <f>+M47*O47*N47</f>
        <v>0</v>
      </c>
      <c r="Q47" s="17">
        <f>P47+L47</f>
        <v>22950000</v>
      </c>
      <c r="R47" s="79" t="s">
        <v>156</v>
      </c>
      <c r="S47" s="26" t="s">
        <v>17</v>
      </c>
      <c r="T47" s="26" t="s">
        <v>90</v>
      </c>
      <c r="U47" s="34">
        <v>45976</v>
      </c>
      <c r="V47" s="34">
        <f>+U47+30</f>
        <v>46006</v>
      </c>
      <c r="W47" s="79"/>
      <c r="X47" s="79"/>
      <c r="Y47" s="79"/>
      <c r="Z47" s="79"/>
      <c r="AA47" s="79"/>
      <c r="AB47" s="79"/>
      <c r="AC47" s="79"/>
      <c r="AD47" s="79"/>
      <c r="AE47" s="79"/>
      <c r="AF47" s="79"/>
      <c r="AG47" s="79"/>
      <c r="AH47" s="79"/>
      <c r="AI47" s="13"/>
      <c r="AJ47" s="13" t="s">
        <v>187</v>
      </c>
      <c r="AU47" s="331">
        <f>+Q47</f>
        <v>22950000</v>
      </c>
    </row>
    <row r="48" spans="1:81" s="159" customFormat="1" ht="32" x14ac:dyDescent="0.35">
      <c r="A48" s="11"/>
      <c r="B48" s="36" t="s">
        <v>284</v>
      </c>
      <c r="C48" s="1" t="s">
        <v>20</v>
      </c>
      <c r="D48" s="205" t="s">
        <v>29</v>
      </c>
      <c r="E48" s="1"/>
      <c r="F48" s="9">
        <v>0</v>
      </c>
      <c r="G48" s="9"/>
      <c r="H48" s="2">
        <f t="shared" ref="H48" si="19">+E48-(F48+G48)</f>
        <v>0</v>
      </c>
      <c r="I48" s="2"/>
      <c r="J48" s="1"/>
      <c r="K48" s="1"/>
      <c r="L48" s="3">
        <f>+I48*K48*J48</f>
        <v>0</v>
      </c>
      <c r="M48" s="28">
        <v>55000</v>
      </c>
      <c r="N48" s="26">
        <f>41+2</f>
        <v>43</v>
      </c>
      <c r="O48" s="26">
        <v>1</v>
      </c>
      <c r="P48" s="3">
        <f>+M48*O48*N48</f>
        <v>2365000</v>
      </c>
      <c r="Q48" s="17">
        <f>P48+L48</f>
        <v>2365000</v>
      </c>
      <c r="R48" s="12" t="s">
        <v>156</v>
      </c>
      <c r="S48" s="1" t="s">
        <v>17</v>
      </c>
      <c r="T48" s="1" t="s">
        <v>90</v>
      </c>
      <c r="U48" s="33">
        <v>45717</v>
      </c>
      <c r="V48" s="33">
        <f>+U48+60</f>
        <v>45777</v>
      </c>
      <c r="W48" s="12"/>
      <c r="X48" s="12"/>
      <c r="Y48" s="12"/>
      <c r="Z48" s="12"/>
      <c r="AA48" s="12"/>
      <c r="AB48" s="12"/>
      <c r="AC48" s="12"/>
      <c r="AD48" s="12"/>
      <c r="AE48" s="12"/>
      <c r="AF48" s="12"/>
      <c r="AG48" s="12"/>
      <c r="AH48" s="12"/>
      <c r="AI48" s="13"/>
      <c r="AJ48" s="13" t="s">
        <v>186</v>
      </c>
      <c r="AK48" s="5"/>
      <c r="AL48" s="5"/>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row>
    <row r="49" spans="1:81" s="262" customFormat="1" ht="32" x14ac:dyDescent="0.35">
      <c r="A49" s="246"/>
      <c r="B49" s="235" t="s">
        <v>285</v>
      </c>
      <c r="C49" s="236" t="s">
        <v>335</v>
      </c>
      <c r="D49" s="237" t="s">
        <v>181</v>
      </c>
      <c r="E49" s="236"/>
      <c r="F49" s="239">
        <v>0</v>
      </c>
      <c r="G49" s="239"/>
      <c r="H49" s="238">
        <f t="shared" si="6"/>
        <v>0</v>
      </c>
      <c r="I49" s="238">
        <v>90502.461538461532</v>
      </c>
      <c r="J49" s="236">
        <v>403</v>
      </c>
      <c r="K49" s="236">
        <v>2</v>
      </c>
      <c r="L49" s="240">
        <f>+I49*K49*J49</f>
        <v>72944984</v>
      </c>
      <c r="M49" s="238"/>
      <c r="N49" s="236"/>
      <c r="O49" s="236"/>
      <c r="P49" s="240">
        <f>+M49*O49*N49</f>
        <v>0</v>
      </c>
      <c r="Q49" s="241">
        <f t="shared" si="7"/>
        <v>72944984</v>
      </c>
      <c r="R49" s="243" t="s">
        <v>156</v>
      </c>
      <c r="S49" s="236" t="s">
        <v>17</v>
      </c>
      <c r="T49" s="236" t="s">
        <v>75</v>
      </c>
      <c r="U49" s="242">
        <v>45622</v>
      </c>
      <c r="V49" s="242">
        <f>+U49+10</f>
        <v>45632</v>
      </c>
      <c r="W49" s="243"/>
      <c r="X49" s="243"/>
      <c r="Y49" s="243"/>
      <c r="Z49" s="243"/>
      <c r="AA49" s="243"/>
      <c r="AB49" s="243"/>
      <c r="AC49" s="243"/>
      <c r="AD49" s="243"/>
      <c r="AE49" s="243"/>
      <c r="AF49" s="243"/>
      <c r="AG49" s="243"/>
      <c r="AH49" s="243"/>
      <c r="AI49" s="244"/>
      <c r="AJ49" s="244" t="s">
        <v>187</v>
      </c>
      <c r="AK49" s="248"/>
      <c r="AL49" s="248"/>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c r="BJ49" s="249"/>
      <c r="BK49" s="249"/>
      <c r="BL49" s="249"/>
      <c r="BM49" s="249"/>
      <c r="BN49" s="249"/>
      <c r="BO49" s="249"/>
      <c r="BP49" s="249"/>
      <c r="BQ49" s="249"/>
      <c r="BR49" s="249"/>
      <c r="BS49" s="249"/>
      <c r="BT49" s="249"/>
      <c r="BU49" s="249"/>
      <c r="BV49" s="249"/>
      <c r="BW49" s="249"/>
      <c r="BX49" s="249"/>
      <c r="BY49" s="249"/>
      <c r="BZ49" s="249"/>
      <c r="CA49" s="249"/>
      <c r="CB49" s="249"/>
      <c r="CC49" s="249"/>
    </row>
    <row r="50" spans="1:81" s="249" customFormat="1" ht="16" x14ac:dyDescent="0.35">
      <c r="A50" s="246"/>
      <c r="B50" s="235" t="s">
        <v>178</v>
      </c>
      <c r="C50" s="236" t="s">
        <v>20</v>
      </c>
      <c r="D50" s="263">
        <v>0.01</v>
      </c>
      <c r="E50" s="236"/>
      <c r="F50" s="239">
        <v>0</v>
      </c>
      <c r="G50" s="239"/>
      <c r="H50" s="238">
        <f t="shared" si="6"/>
        <v>0</v>
      </c>
      <c r="I50" s="238"/>
      <c r="J50" s="238"/>
      <c r="K50" s="244"/>
      <c r="L50" s="240">
        <f>(L48)*0.01</f>
        <v>0</v>
      </c>
      <c r="M50" s="238">
        <f>M48*0.035</f>
        <v>1925.0000000000002</v>
      </c>
      <c r="N50" s="236">
        <f>N48</f>
        <v>43</v>
      </c>
      <c r="O50" s="236">
        <f>O48</f>
        <v>1</v>
      </c>
      <c r="P50" s="240">
        <f t="shared" ref="P50" si="20">+M50*O50*N50</f>
        <v>82775.000000000015</v>
      </c>
      <c r="Q50" s="241">
        <f t="shared" si="7"/>
        <v>82775.000000000015</v>
      </c>
      <c r="R50" s="243" t="s">
        <v>156</v>
      </c>
      <c r="S50" s="236" t="s">
        <v>17</v>
      </c>
      <c r="T50" s="236" t="s">
        <v>75</v>
      </c>
      <c r="U50" s="242">
        <f>+U48</f>
        <v>45717</v>
      </c>
      <c r="V50" s="242">
        <f>+V48</f>
        <v>45777</v>
      </c>
      <c r="W50" s="243"/>
      <c r="X50" s="243"/>
      <c r="Y50" s="243"/>
      <c r="Z50" s="243"/>
      <c r="AA50" s="243"/>
      <c r="AB50" s="243"/>
      <c r="AC50" s="243"/>
      <c r="AD50" s="243"/>
      <c r="AE50" s="243"/>
      <c r="AF50" s="243"/>
      <c r="AG50" s="243"/>
      <c r="AH50" s="243"/>
      <c r="AI50" s="244"/>
      <c r="AJ50" s="245" t="s">
        <v>148</v>
      </c>
      <c r="AK50" s="248"/>
      <c r="AL50" s="248"/>
    </row>
    <row r="51" spans="1:81" s="6" customFormat="1" ht="36" customHeight="1" x14ac:dyDescent="0.35">
      <c r="A51" s="11"/>
      <c r="B51" s="221" t="s">
        <v>286</v>
      </c>
      <c r="C51" s="222" t="s">
        <v>77</v>
      </c>
      <c r="D51" s="223"/>
      <c r="E51" s="222"/>
      <c r="F51" s="224">
        <v>0</v>
      </c>
      <c r="G51" s="224"/>
      <c r="H51" s="225">
        <f t="shared" si="6"/>
        <v>0</v>
      </c>
      <c r="I51" s="225">
        <v>125000</v>
      </c>
      <c r="J51" s="225">
        <f>4*2*7</f>
        <v>56</v>
      </c>
      <c r="K51" s="226">
        <v>1</v>
      </c>
      <c r="L51" s="227">
        <f>+I51*K51*J51</f>
        <v>7000000</v>
      </c>
      <c r="M51" s="228"/>
      <c r="N51" s="229"/>
      <c r="O51" s="229"/>
      <c r="P51" s="227">
        <f>+M51*O51*N51</f>
        <v>0</v>
      </c>
      <c r="Q51" s="230">
        <f t="shared" si="7"/>
        <v>7000000</v>
      </c>
      <c r="R51" s="231" t="s">
        <v>257</v>
      </c>
      <c r="S51" s="222" t="s">
        <v>17</v>
      </c>
      <c r="T51" s="222" t="s">
        <v>258</v>
      </c>
      <c r="U51" s="232">
        <v>45586</v>
      </c>
      <c r="V51" s="232">
        <f>+U51+30</f>
        <v>45616</v>
      </c>
      <c r="W51" s="231"/>
      <c r="X51" s="231"/>
      <c r="Y51" s="231"/>
      <c r="Z51" s="231"/>
      <c r="AA51" s="231"/>
      <c r="AB51" s="231"/>
      <c r="AC51" s="231"/>
      <c r="AD51" s="231"/>
      <c r="AE51" s="231"/>
      <c r="AF51" s="231"/>
      <c r="AG51" s="231"/>
      <c r="AH51" s="231"/>
      <c r="AI51" s="233"/>
      <c r="AJ51" s="234" t="s">
        <v>187</v>
      </c>
      <c r="AK51" s="5"/>
      <c r="AL51" s="5"/>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row>
    <row r="52" spans="1:81" s="155" customFormat="1" ht="25.25" customHeight="1" x14ac:dyDescent="0.35">
      <c r="A52" s="144" t="s">
        <v>113</v>
      </c>
      <c r="B52" s="145" t="s">
        <v>114</v>
      </c>
      <c r="C52" s="32"/>
      <c r="D52" s="208"/>
      <c r="E52" s="31">
        <f>SUM(E53:E54)</f>
        <v>23364092</v>
      </c>
      <c r="F52" s="31">
        <f t="shared" ref="F52:H52" si="21">SUM(F53:F54)</f>
        <v>16244879</v>
      </c>
      <c r="G52" s="31">
        <f t="shared" si="21"/>
        <v>0</v>
      </c>
      <c r="H52" s="31">
        <f t="shared" si="21"/>
        <v>7119213</v>
      </c>
      <c r="I52" s="147"/>
      <c r="J52" s="32"/>
      <c r="K52" s="148"/>
      <c r="L52" s="31">
        <f>SUM(L53:L54)</f>
        <v>0</v>
      </c>
      <c r="M52" s="122"/>
      <c r="N52" s="158"/>
      <c r="O52" s="88"/>
      <c r="P52" s="31">
        <f>SUM(P53:P54)</f>
        <v>0</v>
      </c>
      <c r="Q52" s="31">
        <f>SUM(Q53:Q54)</f>
        <v>0</v>
      </c>
      <c r="R52" s="149"/>
      <c r="S52" s="149"/>
      <c r="T52" s="149"/>
      <c r="U52" s="151"/>
      <c r="V52" s="151"/>
      <c r="W52" s="151"/>
      <c r="X52" s="151"/>
      <c r="Y52" s="151"/>
      <c r="Z52" s="151"/>
      <c r="AA52" s="151"/>
      <c r="AB52" s="151"/>
      <c r="AC52" s="151"/>
      <c r="AD52" s="151"/>
      <c r="AE52" s="151"/>
      <c r="AF52" s="151"/>
      <c r="AG52" s="151"/>
      <c r="AH52" s="151"/>
      <c r="AI52" s="152"/>
      <c r="AJ52" s="153"/>
      <c r="AK52" s="154">
        <f>SUM(AK53:AK54)</f>
        <v>0</v>
      </c>
      <c r="AL52" s="154">
        <f t="shared" ref="AL52:AV52" si="22">SUM(AL53:AL54)</f>
        <v>0</v>
      </c>
      <c r="AM52" s="154">
        <f t="shared" si="22"/>
        <v>0</v>
      </c>
      <c r="AN52" s="154">
        <f t="shared" si="22"/>
        <v>0</v>
      </c>
      <c r="AO52" s="154">
        <f t="shared" si="22"/>
        <v>0</v>
      </c>
      <c r="AP52" s="154">
        <f t="shared" si="22"/>
        <v>0</v>
      </c>
      <c r="AQ52" s="154">
        <f t="shared" si="22"/>
        <v>0</v>
      </c>
      <c r="AR52" s="154">
        <f t="shared" si="22"/>
        <v>0</v>
      </c>
      <c r="AS52" s="154">
        <f t="shared" si="22"/>
        <v>0</v>
      </c>
      <c r="AT52" s="154">
        <f t="shared" si="22"/>
        <v>0</v>
      </c>
      <c r="AU52" s="154">
        <f t="shared" si="22"/>
        <v>0</v>
      </c>
      <c r="AV52" s="154">
        <f t="shared" si="22"/>
        <v>0</v>
      </c>
    </row>
    <row r="53" spans="1:81" s="249" customFormat="1" ht="32" x14ac:dyDescent="0.35">
      <c r="A53" s="246"/>
      <c r="B53" s="235" t="s">
        <v>359</v>
      </c>
      <c r="C53" s="236" t="s">
        <v>81</v>
      </c>
      <c r="D53" s="237" t="s">
        <v>18</v>
      </c>
      <c r="E53" s="238">
        <f>1000000+310000+7119213+213946</f>
        <v>8643159</v>
      </c>
      <c r="F53" s="239">
        <v>1523946</v>
      </c>
      <c r="G53" s="239"/>
      <c r="H53" s="238">
        <f t="shared" si="6"/>
        <v>7119213</v>
      </c>
      <c r="I53" s="238"/>
      <c r="J53" s="236"/>
      <c r="K53" s="236"/>
      <c r="L53" s="240">
        <f>+I53*K53*J53</f>
        <v>0</v>
      </c>
      <c r="M53" s="238"/>
      <c r="N53" s="236"/>
      <c r="O53" s="236"/>
      <c r="P53" s="240">
        <f>+M53*O53*N53</f>
        <v>0</v>
      </c>
      <c r="Q53" s="241">
        <f t="shared" si="7"/>
        <v>0</v>
      </c>
      <c r="R53" s="236" t="s">
        <v>259</v>
      </c>
      <c r="S53" s="236" t="s">
        <v>17</v>
      </c>
      <c r="T53" s="236" t="s">
        <v>90</v>
      </c>
      <c r="U53" s="242">
        <v>45432</v>
      </c>
      <c r="V53" s="242">
        <f>U53+30</f>
        <v>45462</v>
      </c>
      <c r="W53" s="243"/>
      <c r="X53" s="243"/>
      <c r="Y53" s="243"/>
      <c r="Z53" s="243"/>
      <c r="AA53" s="243"/>
      <c r="AB53" s="243"/>
      <c r="AC53" s="243"/>
      <c r="AD53" s="243"/>
      <c r="AE53" s="243"/>
      <c r="AF53" s="243"/>
      <c r="AG53" s="243"/>
      <c r="AH53" s="243"/>
      <c r="AI53" s="244"/>
      <c r="AJ53" s="245" t="s">
        <v>151</v>
      </c>
      <c r="AK53" s="248"/>
      <c r="AL53" s="248"/>
      <c r="AM53" s="248"/>
      <c r="AN53" s="248"/>
      <c r="AO53" s="248"/>
      <c r="AP53" s="248"/>
      <c r="AQ53" s="248"/>
      <c r="AR53" s="248"/>
      <c r="AS53" s="248"/>
      <c r="AT53" s="248"/>
      <c r="AU53" s="248"/>
      <c r="AV53" s="248"/>
    </row>
    <row r="54" spans="1:81" s="249" customFormat="1" ht="48" x14ac:dyDescent="0.35">
      <c r="A54" s="246"/>
      <c r="B54" s="235" t="s">
        <v>360</v>
      </c>
      <c r="C54" s="236" t="s">
        <v>81</v>
      </c>
      <c r="D54" s="237" t="s">
        <v>18</v>
      </c>
      <c r="E54" s="238">
        <f>700000+29050+1680000+525000+11786883</f>
        <v>14720933</v>
      </c>
      <c r="F54" s="239">
        <v>14720933</v>
      </c>
      <c r="G54" s="239"/>
      <c r="H54" s="238">
        <f t="shared" si="6"/>
        <v>0</v>
      </c>
      <c r="I54" s="238"/>
      <c r="J54" s="236"/>
      <c r="K54" s="236"/>
      <c r="L54" s="240">
        <f>+I54*K54*J54</f>
        <v>0</v>
      </c>
      <c r="M54" s="238"/>
      <c r="N54" s="236"/>
      <c r="O54" s="236"/>
      <c r="P54" s="240">
        <f>+M54*O54*N54</f>
        <v>0</v>
      </c>
      <c r="Q54" s="241">
        <f t="shared" si="7"/>
        <v>0</v>
      </c>
      <c r="R54" s="236" t="s">
        <v>259</v>
      </c>
      <c r="S54" s="236" t="s">
        <v>17</v>
      </c>
      <c r="T54" s="236" t="s">
        <v>90</v>
      </c>
      <c r="U54" s="242">
        <v>45482</v>
      </c>
      <c r="V54" s="242">
        <f>+U54+5</f>
        <v>45487</v>
      </c>
      <c r="W54" s="243"/>
      <c r="X54" s="243"/>
      <c r="Y54" s="243"/>
      <c r="Z54" s="243"/>
      <c r="AA54" s="243"/>
      <c r="AB54" s="243"/>
      <c r="AC54" s="243"/>
      <c r="AD54" s="243"/>
      <c r="AE54" s="243"/>
      <c r="AF54" s="243"/>
      <c r="AG54" s="243"/>
      <c r="AH54" s="243"/>
      <c r="AI54" s="244"/>
      <c r="AJ54" s="245" t="s">
        <v>151</v>
      </c>
      <c r="AK54" s="248"/>
      <c r="AL54" s="248"/>
      <c r="AM54" s="248"/>
      <c r="AN54" s="248"/>
      <c r="AO54" s="248"/>
      <c r="AP54" s="248"/>
      <c r="AQ54" s="248"/>
      <c r="AR54" s="248"/>
      <c r="AS54" s="248"/>
      <c r="AT54" s="248"/>
      <c r="AU54" s="248"/>
      <c r="AV54" s="248"/>
    </row>
    <row r="55" spans="1:81" s="155" customFormat="1" ht="25.25" customHeight="1" x14ac:dyDescent="0.35">
      <c r="A55" s="144" t="s">
        <v>31</v>
      </c>
      <c r="B55" s="145" t="s">
        <v>32</v>
      </c>
      <c r="C55" s="32"/>
      <c r="D55" s="208"/>
      <c r="E55" s="31">
        <f>SUM(E56:E69)</f>
        <v>54025944</v>
      </c>
      <c r="F55" s="31">
        <f>SUM(F56:F69)</f>
        <v>54025944</v>
      </c>
      <c r="G55" s="31">
        <f>SUM(G56:G69)</f>
        <v>0</v>
      </c>
      <c r="H55" s="31">
        <f>SUM(H56:H69)</f>
        <v>0</v>
      </c>
      <c r="I55" s="147"/>
      <c r="J55" s="32"/>
      <c r="K55" s="148"/>
      <c r="L55" s="31">
        <f>SUM(L56:L69)</f>
        <v>516771312.949</v>
      </c>
      <c r="M55" s="122"/>
      <c r="N55" s="158"/>
      <c r="O55" s="88"/>
      <c r="P55" s="31">
        <f>SUM(P56:P69)</f>
        <v>601202478.5</v>
      </c>
      <c r="Q55" s="31">
        <f>SUM(Q56:Q69)</f>
        <v>1117973791.4489999</v>
      </c>
      <c r="R55" s="149"/>
      <c r="S55" s="149"/>
      <c r="T55" s="149"/>
      <c r="U55" s="151"/>
      <c r="V55" s="151"/>
      <c r="W55" s="151"/>
      <c r="X55" s="151"/>
      <c r="Y55" s="151"/>
      <c r="Z55" s="151"/>
      <c r="AA55" s="151"/>
      <c r="AB55" s="151"/>
      <c r="AC55" s="151"/>
      <c r="AD55" s="151"/>
      <c r="AE55" s="151"/>
      <c r="AF55" s="151"/>
      <c r="AG55" s="151"/>
      <c r="AH55" s="151"/>
      <c r="AI55" s="152"/>
      <c r="AJ55" s="153"/>
      <c r="AK55" s="154">
        <f>SUM(AK56:AK69)</f>
        <v>82978265</v>
      </c>
      <c r="AL55" s="154">
        <f t="shared" ref="AL55:AV55" si="23">SUM(AL56:AL69)</f>
        <v>39007796</v>
      </c>
      <c r="AM55" s="154">
        <f t="shared" si="23"/>
        <v>446537787.7694</v>
      </c>
      <c r="AN55" s="154">
        <f t="shared" si="23"/>
        <v>50225000</v>
      </c>
      <c r="AO55" s="154">
        <f t="shared" si="23"/>
        <v>0</v>
      </c>
      <c r="AP55" s="154">
        <f t="shared" si="23"/>
        <v>0</v>
      </c>
      <c r="AQ55" s="154">
        <f t="shared" si="23"/>
        <v>0</v>
      </c>
      <c r="AR55" s="154">
        <f t="shared" si="23"/>
        <v>0</v>
      </c>
      <c r="AS55" s="154">
        <f t="shared" si="23"/>
        <v>0</v>
      </c>
      <c r="AT55" s="154">
        <f t="shared" si="23"/>
        <v>0</v>
      </c>
      <c r="AU55" s="154">
        <f t="shared" si="23"/>
        <v>0</v>
      </c>
      <c r="AV55" s="154">
        <f t="shared" si="23"/>
        <v>0</v>
      </c>
    </row>
    <row r="56" spans="1:81" s="258" customFormat="1" ht="32" x14ac:dyDescent="0.35">
      <c r="A56" s="250"/>
      <c r="B56" s="251" t="s">
        <v>82</v>
      </c>
      <c r="C56" s="252" t="s">
        <v>279</v>
      </c>
      <c r="D56" s="253" t="s">
        <v>14</v>
      </c>
      <c r="E56" s="255">
        <v>29157289</v>
      </c>
      <c r="F56" s="254">
        <v>29157289</v>
      </c>
      <c r="G56" s="254"/>
      <c r="H56" s="255">
        <f t="shared" si="6"/>
        <v>0</v>
      </c>
      <c r="I56" s="255"/>
      <c r="J56" s="252"/>
      <c r="K56" s="252"/>
      <c r="L56" s="240">
        <f t="shared" ref="L56:L69" si="24">+I56*K56*J56</f>
        <v>0</v>
      </c>
      <c r="M56" s="238"/>
      <c r="N56" s="236"/>
      <c r="O56" s="236"/>
      <c r="P56" s="240">
        <f t="shared" ref="P56:P69" si="25">+M56*O56*N56</f>
        <v>0</v>
      </c>
      <c r="Q56" s="241">
        <f t="shared" si="7"/>
        <v>0</v>
      </c>
      <c r="R56" s="252" t="s">
        <v>260</v>
      </c>
      <c r="S56" s="252" t="s">
        <v>17</v>
      </c>
      <c r="T56" s="252" t="s">
        <v>90</v>
      </c>
      <c r="U56" s="256">
        <v>45413</v>
      </c>
      <c r="V56" s="256">
        <f>U56+45</f>
        <v>45458</v>
      </c>
      <c r="W56" s="257"/>
      <c r="X56" s="257"/>
      <c r="Y56" s="257"/>
      <c r="Z56" s="257"/>
      <c r="AA56" s="257"/>
      <c r="AB56" s="257"/>
      <c r="AC56" s="257"/>
      <c r="AD56" s="257"/>
      <c r="AE56" s="257"/>
      <c r="AF56" s="257"/>
      <c r="AG56" s="257"/>
      <c r="AH56" s="257"/>
      <c r="AI56" s="244"/>
      <c r="AJ56" s="245" t="s">
        <v>151</v>
      </c>
      <c r="AK56" s="248"/>
      <c r="AL56" s="248"/>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c r="BJ56" s="249"/>
      <c r="BK56" s="249"/>
      <c r="BL56" s="249"/>
      <c r="BM56" s="249"/>
      <c r="BN56" s="249"/>
      <c r="BO56" s="249"/>
      <c r="BP56" s="249"/>
      <c r="BQ56" s="249"/>
      <c r="BR56" s="249"/>
      <c r="BS56" s="249"/>
      <c r="BT56" s="249"/>
      <c r="BU56" s="249"/>
      <c r="BV56" s="249"/>
      <c r="BW56" s="249"/>
      <c r="BX56" s="249"/>
      <c r="BY56" s="249"/>
      <c r="BZ56" s="249"/>
      <c r="CA56" s="249"/>
      <c r="CB56" s="249"/>
      <c r="CC56" s="249"/>
    </row>
    <row r="57" spans="1:81" s="249" customFormat="1" ht="16" x14ac:dyDescent="0.35">
      <c r="A57" s="246"/>
      <c r="B57" s="235" t="s">
        <v>143</v>
      </c>
      <c r="C57" s="236" t="s">
        <v>81</v>
      </c>
      <c r="D57" s="237" t="s">
        <v>19</v>
      </c>
      <c r="E57" s="238">
        <f>5260000+3075000+820000-95000+15808655</f>
        <v>24868655</v>
      </c>
      <c r="F57" s="239">
        <v>24868655</v>
      </c>
      <c r="G57" s="239"/>
      <c r="H57" s="238">
        <f t="shared" si="6"/>
        <v>0</v>
      </c>
      <c r="I57" s="238"/>
      <c r="J57" s="236"/>
      <c r="K57" s="236"/>
      <c r="L57" s="240">
        <f t="shared" si="24"/>
        <v>0</v>
      </c>
      <c r="M57" s="238"/>
      <c r="N57" s="236"/>
      <c r="O57" s="236"/>
      <c r="P57" s="240">
        <f t="shared" si="25"/>
        <v>0</v>
      </c>
      <c r="Q57" s="241">
        <f t="shared" si="7"/>
        <v>0</v>
      </c>
      <c r="R57" s="236" t="s">
        <v>260</v>
      </c>
      <c r="S57" s="236" t="s">
        <v>17</v>
      </c>
      <c r="T57" s="236" t="s">
        <v>90</v>
      </c>
      <c r="U57" s="242">
        <f>+U56+15</f>
        <v>45428</v>
      </c>
      <c r="V57" s="242">
        <f>V56</f>
        <v>45458</v>
      </c>
      <c r="W57" s="243"/>
      <c r="X57" s="243"/>
      <c r="Y57" s="243"/>
      <c r="Z57" s="243"/>
      <c r="AA57" s="243"/>
      <c r="AB57" s="243"/>
      <c r="AC57" s="243"/>
      <c r="AD57" s="243"/>
      <c r="AE57" s="243"/>
      <c r="AF57" s="243"/>
      <c r="AG57" s="243"/>
      <c r="AH57" s="243"/>
      <c r="AI57" s="244"/>
      <c r="AJ57" s="245" t="s">
        <v>151</v>
      </c>
      <c r="AK57" s="248"/>
      <c r="AL57" s="248"/>
    </row>
    <row r="58" spans="1:81" s="249" customFormat="1" ht="32" x14ac:dyDescent="0.35">
      <c r="A58" s="246"/>
      <c r="B58" s="235" t="s">
        <v>80</v>
      </c>
      <c r="C58" s="236" t="s">
        <v>335</v>
      </c>
      <c r="D58" s="237" t="s">
        <v>19</v>
      </c>
      <c r="E58" s="236"/>
      <c r="F58" s="239">
        <v>0</v>
      </c>
      <c r="G58" s="239"/>
      <c r="H58" s="238">
        <f t="shared" si="6"/>
        <v>0</v>
      </c>
      <c r="I58" s="238"/>
      <c r="J58" s="264"/>
      <c r="K58" s="236"/>
      <c r="L58" s="240">
        <f t="shared" si="24"/>
        <v>0</v>
      </c>
      <c r="M58" s="238"/>
      <c r="N58" s="264"/>
      <c r="O58" s="236"/>
      <c r="P58" s="240">
        <f t="shared" si="25"/>
        <v>0</v>
      </c>
      <c r="Q58" s="241">
        <f t="shared" si="7"/>
        <v>0</v>
      </c>
      <c r="R58" s="236" t="s">
        <v>260</v>
      </c>
      <c r="S58" s="236" t="s">
        <v>17</v>
      </c>
      <c r="T58" s="236" t="s">
        <v>90</v>
      </c>
      <c r="U58" s="242">
        <f>V56</f>
        <v>45458</v>
      </c>
      <c r="V58" s="242">
        <f>+U58+30</f>
        <v>45488</v>
      </c>
      <c r="W58" s="243"/>
      <c r="X58" s="243"/>
      <c r="Y58" s="243"/>
      <c r="Z58" s="243"/>
      <c r="AA58" s="243"/>
      <c r="AB58" s="243"/>
      <c r="AC58" s="243"/>
      <c r="AD58" s="243"/>
      <c r="AE58" s="243"/>
      <c r="AF58" s="243"/>
      <c r="AG58" s="243"/>
      <c r="AH58" s="243"/>
      <c r="AI58" s="244"/>
      <c r="AJ58" s="245" t="s">
        <v>151</v>
      </c>
      <c r="AK58" s="248"/>
      <c r="AL58" s="248"/>
    </row>
    <row r="59" spans="1:81" s="6" customFormat="1" ht="32" x14ac:dyDescent="0.35">
      <c r="A59" s="11"/>
      <c r="B59" s="36" t="s">
        <v>287</v>
      </c>
      <c r="C59" s="1" t="s">
        <v>20</v>
      </c>
      <c r="D59" s="205" t="s">
        <v>121</v>
      </c>
      <c r="E59" s="1"/>
      <c r="F59" s="9">
        <v>0</v>
      </c>
      <c r="G59" s="9"/>
      <c r="H59" s="2">
        <f t="shared" si="6"/>
        <v>0</v>
      </c>
      <c r="I59" s="2">
        <v>5000</v>
      </c>
      <c r="J59" s="2">
        <f>22925*2</f>
        <v>45850</v>
      </c>
      <c r="K59" s="1">
        <v>1</v>
      </c>
      <c r="L59" s="3">
        <f t="shared" si="24"/>
        <v>229250000</v>
      </c>
      <c r="M59" s="28"/>
      <c r="N59" s="72"/>
      <c r="O59" s="26"/>
      <c r="P59" s="3">
        <f t="shared" si="25"/>
        <v>0</v>
      </c>
      <c r="Q59" s="17">
        <f t="shared" si="7"/>
        <v>229250000</v>
      </c>
      <c r="R59" s="1" t="s">
        <v>260</v>
      </c>
      <c r="S59" s="1" t="s">
        <v>17</v>
      </c>
      <c r="T59" s="1" t="s">
        <v>90</v>
      </c>
      <c r="U59" s="33">
        <v>45580</v>
      </c>
      <c r="V59" s="33">
        <f>+U59+60</f>
        <v>45640</v>
      </c>
      <c r="W59" s="12"/>
      <c r="X59" s="12"/>
      <c r="Y59" s="12"/>
      <c r="Z59" s="12"/>
      <c r="AA59" s="12"/>
      <c r="AB59" s="12"/>
      <c r="AC59" s="12"/>
      <c r="AD59" s="12"/>
      <c r="AE59" s="12"/>
      <c r="AF59" s="12"/>
      <c r="AG59" s="12"/>
      <c r="AH59" s="12"/>
      <c r="AI59" s="13"/>
      <c r="AJ59" s="80" t="s">
        <v>188</v>
      </c>
      <c r="AK59" s="5"/>
      <c r="AL59" s="5"/>
      <c r="AM59" s="331">
        <f>+Q59</f>
        <v>229250000</v>
      </c>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row>
    <row r="60" spans="1:81" s="6" customFormat="1" ht="32" x14ac:dyDescent="0.35">
      <c r="A60" s="11"/>
      <c r="B60" s="36" t="s">
        <v>288</v>
      </c>
      <c r="C60" s="1" t="s">
        <v>20</v>
      </c>
      <c r="D60" s="205" t="s">
        <v>121</v>
      </c>
      <c r="E60" s="1"/>
      <c r="F60" s="9">
        <v>0</v>
      </c>
      <c r="G60" s="9"/>
      <c r="H60" s="2">
        <f t="shared" si="6"/>
        <v>0</v>
      </c>
      <c r="I60" s="2">
        <v>3000</v>
      </c>
      <c r="J60" s="2">
        <v>62425</v>
      </c>
      <c r="K60" s="1">
        <v>1</v>
      </c>
      <c r="L60" s="3">
        <f t="shared" si="24"/>
        <v>187275000</v>
      </c>
      <c r="M60" s="28"/>
      <c r="N60" s="72"/>
      <c r="O60" s="26"/>
      <c r="P60" s="3">
        <f t="shared" si="25"/>
        <v>0</v>
      </c>
      <c r="Q60" s="17">
        <f t="shared" si="7"/>
        <v>187275000</v>
      </c>
      <c r="R60" s="1" t="s">
        <v>260</v>
      </c>
      <c r="S60" s="1" t="s">
        <v>17</v>
      </c>
      <c r="T60" s="1" t="s">
        <v>90</v>
      </c>
      <c r="U60" s="33">
        <v>45580</v>
      </c>
      <c r="V60" s="33">
        <f>+U60+60</f>
        <v>45640</v>
      </c>
      <c r="W60" s="12"/>
      <c r="X60" s="12"/>
      <c r="Y60" s="12"/>
      <c r="Z60" s="12"/>
      <c r="AA60" s="12"/>
      <c r="AB60" s="12"/>
      <c r="AC60" s="12"/>
      <c r="AD60" s="12"/>
      <c r="AE60" s="12"/>
      <c r="AF60" s="12"/>
      <c r="AG60" s="12"/>
      <c r="AH60" s="12"/>
      <c r="AI60" s="13"/>
      <c r="AJ60" s="80" t="s">
        <v>188</v>
      </c>
      <c r="AK60" s="5"/>
      <c r="AL60" s="5"/>
      <c r="AM60" s="331">
        <f>+Q60</f>
        <v>187275000</v>
      </c>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row>
    <row r="61" spans="1:81" s="6" customFormat="1" ht="37" customHeight="1" x14ac:dyDescent="0.35">
      <c r="A61" s="11"/>
      <c r="B61" s="36" t="s">
        <v>205</v>
      </c>
      <c r="C61" s="1" t="s">
        <v>20</v>
      </c>
      <c r="D61" s="205" t="s">
        <v>190</v>
      </c>
      <c r="E61" s="1"/>
      <c r="F61" s="9"/>
      <c r="G61" s="9"/>
      <c r="H61" s="2"/>
      <c r="I61" s="2">
        <v>175000</v>
      </c>
      <c r="J61" s="2">
        <f>41*7</f>
        <v>287</v>
      </c>
      <c r="K61" s="1">
        <v>1</v>
      </c>
      <c r="L61" s="3">
        <f t="shared" si="24"/>
        <v>50225000</v>
      </c>
      <c r="M61" s="28"/>
      <c r="N61" s="72"/>
      <c r="O61" s="26"/>
      <c r="P61" s="3"/>
      <c r="Q61" s="17">
        <f t="shared" si="7"/>
        <v>50225000</v>
      </c>
      <c r="R61" s="1" t="s">
        <v>260</v>
      </c>
      <c r="S61" s="1" t="s">
        <v>17</v>
      </c>
      <c r="T61" s="1" t="s">
        <v>90</v>
      </c>
      <c r="U61" s="33">
        <f>V60+7</f>
        <v>45647</v>
      </c>
      <c r="V61" s="33">
        <f>U61+30</f>
        <v>45677</v>
      </c>
      <c r="W61" s="12"/>
      <c r="X61" s="12"/>
      <c r="Y61" s="12"/>
      <c r="Z61" s="12"/>
      <c r="AA61" s="12"/>
      <c r="AB61" s="12"/>
      <c r="AC61" s="12"/>
      <c r="AD61" s="12"/>
      <c r="AE61" s="12"/>
      <c r="AF61" s="12"/>
      <c r="AG61" s="12"/>
      <c r="AH61" s="12"/>
      <c r="AI61" s="13"/>
      <c r="AJ61" s="80"/>
      <c r="AK61" s="5"/>
      <c r="AL61" s="5"/>
      <c r="AM61" s="4"/>
      <c r="AN61" s="331">
        <f>+Q61</f>
        <v>50225000</v>
      </c>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row>
    <row r="62" spans="1:81" s="6" customFormat="1" ht="54.5" customHeight="1" x14ac:dyDescent="0.35">
      <c r="A62" s="11"/>
      <c r="B62" s="36" t="s">
        <v>361</v>
      </c>
      <c r="C62" s="1" t="s">
        <v>279</v>
      </c>
      <c r="D62" s="205" t="s">
        <v>14</v>
      </c>
      <c r="E62" s="1"/>
      <c r="F62" s="9">
        <v>0</v>
      </c>
      <c r="G62" s="9"/>
      <c r="H62" s="2">
        <f t="shared" si="6"/>
        <v>0</v>
      </c>
      <c r="I62" s="2">
        <f>76257*655.957</f>
        <v>50021312.949000001</v>
      </c>
      <c r="J62" s="1">
        <v>1</v>
      </c>
      <c r="K62" s="1">
        <v>1</v>
      </c>
      <c r="L62" s="3">
        <f t="shared" si="24"/>
        <v>50021312.949000001</v>
      </c>
      <c r="M62" s="28"/>
      <c r="N62" s="72"/>
      <c r="O62" s="26"/>
      <c r="P62" s="3">
        <f t="shared" si="25"/>
        <v>0</v>
      </c>
      <c r="Q62" s="17">
        <f t="shared" si="7"/>
        <v>50021312.949000001</v>
      </c>
      <c r="R62" s="1" t="s">
        <v>261</v>
      </c>
      <c r="S62" s="1" t="s">
        <v>17</v>
      </c>
      <c r="T62" s="1" t="s">
        <v>75</v>
      </c>
      <c r="U62" s="33">
        <v>45536</v>
      </c>
      <c r="V62" s="33">
        <f>+U62+390</f>
        <v>45926</v>
      </c>
      <c r="W62" s="12"/>
      <c r="X62" s="12"/>
      <c r="Y62" s="12"/>
      <c r="Z62" s="12"/>
      <c r="AA62" s="12"/>
      <c r="AB62" s="12"/>
      <c r="AC62" s="12"/>
      <c r="AD62" s="12"/>
      <c r="AE62" s="12"/>
      <c r="AF62" s="12"/>
      <c r="AG62" s="12"/>
      <c r="AH62" s="12"/>
      <c r="AI62" s="13"/>
      <c r="AJ62" s="80" t="s">
        <v>189</v>
      </c>
      <c r="AK62" s="5"/>
      <c r="AL62" s="5"/>
      <c r="AM62" s="4">
        <f>+Q62*0.6</f>
        <v>30012787.769400001</v>
      </c>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row>
    <row r="63" spans="1:81" ht="51" customHeight="1" x14ac:dyDescent="0.35">
      <c r="A63" s="78"/>
      <c r="B63" s="37" t="s">
        <v>362</v>
      </c>
      <c r="C63" s="26" t="s">
        <v>81</v>
      </c>
      <c r="D63" s="206" t="s">
        <v>19</v>
      </c>
      <c r="E63" s="26"/>
      <c r="F63" s="71">
        <v>0</v>
      </c>
      <c r="G63" s="71"/>
      <c r="H63" s="28">
        <f>+E63-(F63+G63)</f>
        <v>0</v>
      </c>
      <c r="I63" s="28"/>
      <c r="J63" s="26"/>
      <c r="K63" s="26"/>
      <c r="L63" s="3">
        <f>+I63*K63*J63</f>
        <v>0</v>
      </c>
      <c r="M63" s="28">
        <f t="shared" ref="M63:M64" si="26">70000+3000</f>
        <v>73000</v>
      </c>
      <c r="N63" s="72">
        <f>45*4</f>
        <v>180</v>
      </c>
      <c r="O63" s="26">
        <v>1</v>
      </c>
      <c r="P63" s="3">
        <f>+M63*O63*N63</f>
        <v>13140000</v>
      </c>
      <c r="Q63" s="17">
        <f>P63+L63</f>
        <v>13140000</v>
      </c>
      <c r="R63" s="26" t="s">
        <v>261</v>
      </c>
      <c r="S63" s="26" t="s">
        <v>17</v>
      </c>
      <c r="T63" s="26" t="s">
        <v>75</v>
      </c>
      <c r="U63" s="34">
        <v>45748</v>
      </c>
      <c r="V63" s="34">
        <f>+U63+20</f>
        <v>45768</v>
      </c>
      <c r="W63" s="79"/>
      <c r="X63" s="79"/>
      <c r="Y63" s="79"/>
      <c r="Z63" s="79"/>
      <c r="AA63" s="79"/>
      <c r="AB63" s="79"/>
      <c r="AC63" s="79"/>
      <c r="AD63" s="79"/>
      <c r="AE63" s="79"/>
      <c r="AF63" s="79"/>
      <c r="AG63" s="79"/>
      <c r="AH63" s="79"/>
      <c r="AI63" s="13"/>
      <c r="AJ63" s="80" t="s">
        <v>148</v>
      </c>
    </row>
    <row r="64" spans="1:81" ht="32" x14ac:dyDescent="0.35">
      <c r="A64" s="78"/>
      <c r="B64" s="37" t="s">
        <v>84</v>
      </c>
      <c r="C64" s="26" t="s">
        <v>81</v>
      </c>
      <c r="D64" s="206" t="s">
        <v>19</v>
      </c>
      <c r="E64" s="26"/>
      <c r="F64" s="71">
        <v>0</v>
      </c>
      <c r="G64" s="71"/>
      <c r="H64" s="28">
        <f t="shared" ref="H64" si="27">+E64-(F64+G64)</f>
        <v>0</v>
      </c>
      <c r="I64" s="28"/>
      <c r="J64" s="26"/>
      <c r="K64" s="26"/>
      <c r="L64" s="3">
        <f t="shared" ref="L64" si="28">+I64*K64*J64</f>
        <v>0</v>
      </c>
      <c r="M64" s="28">
        <f t="shared" si="26"/>
        <v>73000</v>
      </c>
      <c r="N64" s="72">
        <f>(45+41)*4+ (10+41)*3</f>
        <v>497</v>
      </c>
      <c r="O64" s="26">
        <v>1</v>
      </c>
      <c r="P64" s="3">
        <f t="shared" ref="P64:P65" si="29">+M64*O64*N64</f>
        <v>36281000</v>
      </c>
      <c r="Q64" s="17">
        <f t="shared" ref="Q64:Q66" si="30">P64+L64</f>
        <v>36281000</v>
      </c>
      <c r="R64" s="26" t="s">
        <v>261</v>
      </c>
      <c r="S64" s="26" t="s">
        <v>17</v>
      </c>
      <c r="T64" s="26" t="s">
        <v>75</v>
      </c>
      <c r="U64" s="34">
        <v>45641</v>
      </c>
      <c r="V64" s="34">
        <f>+U64+45</f>
        <v>45686</v>
      </c>
      <c r="W64" s="79"/>
      <c r="X64" s="79"/>
      <c r="Y64" s="79"/>
      <c r="Z64" s="79"/>
      <c r="AA64" s="79"/>
      <c r="AB64" s="79"/>
      <c r="AC64" s="79"/>
      <c r="AD64" s="79"/>
      <c r="AE64" s="79"/>
      <c r="AF64" s="79"/>
      <c r="AG64" s="79"/>
      <c r="AH64" s="79"/>
      <c r="AI64" s="13"/>
      <c r="AJ64" s="80" t="s">
        <v>148</v>
      </c>
    </row>
    <row r="65" spans="1:81" ht="48" x14ac:dyDescent="0.35">
      <c r="A65" s="78"/>
      <c r="B65" s="37" t="s">
        <v>289</v>
      </c>
      <c r="C65" s="26" t="s">
        <v>81</v>
      </c>
      <c r="D65" s="206" t="s">
        <v>181</v>
      </c>
      <c r="E65" s="26"/>
      <c r="F65" s="71"/>
      <c r="G65" s="71"/>
      <c r="H65" s="28"/>
      <c r="I65" s="28"/>
      <c r="J65" s="26"/>
      <c r="K65" s="26"/>
      <c r="L65" s="3"/>
      <c r="M65" s="28">
        <v>3500</v>
      </c>
      <c r="N65" s="72">
        <v>36567</v>
      </c>
      <c r="O65" s="26">
        <v>1</v>
      </c>
      <c r="P65" s="3">
        <f t="shared" si="29"/>
        <v>127984500</v>
      </c>
      <c r="Q65" s="17">
        <f t="shared" si="30"/>
        <v>127984500</v>
      </c>
      <c r="R65" s="26" t="s">
        <v>261</v>
      </c>
      <c r="S65" s="26" t="s">
        <v>17</v>
      </c>
      <c r="T65" s="26" t="s">
        <v>75</v>
      </c>
      <c r="U65" s="34">
        <f>+V64+15</f>
        <v>45701</v>
      </c>
      <c r="V65" s="34">
        <f>+U65+120</f>
        <v>45821</v>
      </c>
      <c r="W65" s="79"/>
      <c r="X65" s="79"/>
      <c r="Y65" s="79"/>
      <c r="Z65" s="79"/>
      <c r="AA65" s="79"/>
      <c r="AB65" s="79"/>
      <c r="AC65" s="79"/>
      <c r="AD65" s="79"/>
      <c r="AE65" s="79"/>
      <c r="AF65" s="79"/>
      <c r="AG65" s="79"/>
      <c r="AH65" s="79"/>
      <c r="AI65" s="13"/>
      <c r="AJ65" s="80"/>
    </row>
    <row r="66" spans="1:81" ht="32" x14ac:dyDescent="0.35">
      <c r="A66" s="78"/>
      <c r="B66" s="37" t="s">
        <v>272</v>
      </c>
      <c r="C66" s="26" t="s">
        <v>20</v>
      </c>
      <c r="D66" s="206">
        <v>0.01</v>
      </c>
      <c r="E66" s="26"/>
      <c r="F66" s="71">
        <v>0</v>
      </c>
      <c r="G66" s="71"/>
      <c r="H66" s="28">
        <f t="shared" ref="H66" si="31">+E66-(F66+G66)</f>
        <v>0</v>
      </c>
      <c r="I66" s="28">
        <f>I65*0.01</f>
        <v>0</v>
      </c>
      <c r="J66" s="26">
        <f>J65</f>
        <v>0</v>
      </c>
      <c r="K66" s="26">
        <f>K65</f>
        <v>0</v>
      </c>
      <c r="L66" s="3">
        <f>L65*0.01</f>
        <v>0</v>
      </c>
      <c r="M66" s="28"/>
      <c r="N66" s="72"/>
      <c r="O66" s="26"/>
      <c r="P66" s="3">
        <f>+(P63+P64+P65)*0.01</f>
        <v>1774055</v>
      </c>
      <c r="Q66" s="17">
        <f t="shared" si="30"/>
        <v>1774055</v>
      </c>
      <c r="R66" s="26" t="s">
        <v>261</v>
      </c>
      <c r="S66" s="26"/>
      <c r="T66" s="26" t="s">
        <v>75</v>
      </c>
      <c r="U66" s="34">
        <f>+U64</f>
        <v>45641</v>
      </c>
      <c r="V66" s="34">
        <f>+V65</f>
        <v>45821</v>
      </c>
      <c r="W66" s="79"/>
      <c r="X66" s="79"/>
      <c r="Y66" s="79"/>
      <c r="Z66" s="79"/>
      <c r="AA66" s="79"/>
      <c r="AB66" s="79"/>
      <c r="AC66" s="79"/>
      <c r="AD66" s="79"/>
      <c r="AE66" s="79"/>
      <c r="AF66" s="79"/>
      <c r="AG66" s="79"/>
      <c r="AH66" s="79"/>
      <c r="AI66" s="13"/>
      <c r="AJ66" s="80" t="s">
        <v>148</v>
      </c>
    </row>
    <row r="67" spans="1:81" s="160" customFormat="1" ht="32" x14ac:dyDescent="0.35">
      <c r="A67" s="78"/>
      <c r="B67" s="37" t="s">
        <v>363</v>
      </c>
      <c r="C67" s="26" t="s">
        <v>81</v>
      </c>
      <c r="D67" s="206" t="s">
        <v>37</v>
      </c>
      <c r="E67" s="26"/>
      <c r="F67" s="71">
        <v>0</v>
      </c>
      <c r="G67" s="71"/>
      <c r="H67" s="28">
        <f t="shared" si="6"/>
        <v>0</v>
      </c>
      <c r="I67" s="28"/>
      <c r="J67" s="26"/>
      <c r="K67" s="26"/>
      <c r="L67" s="3">
        <f t="shared" si="24"/>
        <v>0</v>
      </c>
      <c r="M67" s="28">
        <v>160403775.5</v>
      </c>
      <c r="N67" s="72">
        <v>1</v>
      </c>
      <c r="O67" s="26">
        <v>1</v>
      </c>
      <c r="P67" s="3">
        <f t="shared" si="25"/>
        <v>160403775.5</v>
      </c>
      <c r="Q67" s="17">
        <f t="shared" si="7"/>
        <v>160403775.5</v>
      </c>
      <c r="R67" s="26" t="s">
        <v>260</v>
      </c>
      <c r="S67" s="26"/>
      <c r="T67" s="26" t="s">
        <v>90</v>
      </c>
      <c r="U67" s="34">
        <v>45672</v>
      </c>
      <c r="V67" s="34">
        <f>+U67+20</f>
        <v>45692</v>
      </c>
      <c r="W67" s="79"/>
      <c r="X67" s="79"/>
      <c r="Y67" s="79"/>
      <c r="Z67" s="79"/>
      <c r="AA67" s="79"/>
      <c r="AB67" s="79"/>
      <c r="AC67" s="79"/>
      <c r="AD67" s="79"/>
      <c r="AE67" s="79"/>
      <c r="AF67" s="79"/>
      <c r="AG67" s="79"/>
      <c r="AH67" s="79"/>
      <c r="AI67" s="13"/>
      <c r="AJ67" s="80" t="s">
        <v>148</v>
      </c>
      <c r="AK67" s="161">
        <f>+'[1]Budget Revision manuels CE '!$H$65+'[1]Budget Revision manuels CE '!$H$90</f>
        <v>82978265</v>
      </c>
      <c r="AL67" s="340">
        <f>+'[1]Budget Revision manuels CE '!$H$97+'[1]Budget Revision manuels CE '!$H$119+'[1]Budget Revision manuels CE '!$H$126+'[1]Budget Revision manuels CE '!$H$132</f>
        <v>39007796</v>
      </c>
    </row>
    <row r="68" spans="1:81" s="282" customFormat="1" ht="32" x14ac:dyDescent="0.35">
      <c r="A68" s="265"/>
      <c r="B68" s="266" t="s">
        <v>364</v>
      </c>
      <c r="C68" s="267" t="s">
        <v>278</v>
      </c>
      <c r="D68" s="268" t="s">
        <v>112</v>
      </c>
      <c r="E68" s="267"/>
      <c r="F68" s="269">
        <v>0</v>
      </c>
      <c r="G68" s="269"/>
      <c r="H68" s="270">
        <f t="shared" si="6"/>
        <v>0</v>
      </c>
      <c r="I68" s="270"/>
      <c r="J68" s="267"/>
      <c r="K68" s="267"/>
      <c r="L68" s="271">
        <f t="shared" si="24"/>
        <v>0</v>
      </c>
      <c r="M68" s="272">
        <v>40000000</v>
      </c>
      <c r="N68" s="273">
        <v>1</v>
      </c>
      <c r="O68" s="274">
        <v>1</v>
      </c>
      <c r="P68" s="271">
        <f t="shared" si="25"/>
        <v>40000000</v>
      </c>
      <c r="Q68" s="275">
        <f t="shared" si="7"/>
        <v>40000000</v>
      </c>
      <c r="R68" s="267" t="s">
        <v>260</v>
      </c>
      <c r="S68" s="267"/>
      <c r="T68" s="267" t="s">
        <v>90</v>
      </c>
      <c r="U68" s="276">
        <f>V67+60</f>
        <v>45752</v>
      </c>
      <c r="V68" s="276">
        <f>U68+70</f>
        <v>45822</v>
      </c>
      <c r="W68" s="277"/>
      <c r="X68" s="277"/>
      <c r="Y68" s="277"/>
      <c r="Z68" s="277"/>
      <c r="AA68" s="277"/>
      <c r="AB68" s="277"/>
      <c r="AC68" s="277"/>
      <c r="AD68" s="277"/>
      <c r="AE68" s="277"/>
      <c r="AF68" s="277"/>
      <c r="AG68" s="277"/>
      <c r="AH68" s="277"/>
      <c r="AI68" s="278"/>
      <c r="AJ68" s="279" t="s">
        <v>148</v>
      </c>
      <c r="AK68" s="280"/>
      <c r="AL68" s="280"/>
      <c r="AM68" s="281"/>
      <c r="AN68" s="281"/>
      <c r="AO68" s="281"/>
      <c r="AP68" s="281"/>
      <c r="AQ68" s="281"/>
      <c r="AR68" s="281"/>
      <c r="AS68" s="281"/>
      <c r="AT68" s="281"/>
      <c r="AU68" s="281"/>
      <c r="AV68" s="281"/>
      <c r="AW68" s="281"/>
      <c r="AX68" s="281"/>
      <c r="AY68" s="281"/>
      <c r="AZ68" s="281"/>
      <c r="BA68" s="281"/>
      <c r="BB68" s="281"/>
      <c r="BC68" s="281"/>
      <c r="BD68" s="281"/>
      <c r="BE68" s="281"/>
      <c r="BF68" s="281"/>
      <c r="BG68" s="281"/>
      <c r="BH68" s="281"/>
      <c r="BI68" s="281"/>
      <c r="BJ68" s="281"/>
      <c r="BK68" s="281"/>
      <c r="BL68" s="281"/>
      <c r="BM68" s="281"/>
      <c r="BN68" s="281"/>
      <c r="BO68" s="281"/>
      <c r="BP68" s="281"/>
      <c r="BQ68" s="281"/>
      <c r="BR68" s="281"/>
      <c r="BS68" s="281"/>
      <c r="BT68" s="281"/>
      <c r="BU68" s="281"/>
      <c r="BV68" s="281"/>
      <c r="BW68" s="281"/>
      <c r="BX68" s="281"/>
      <c r="BY68" s="281"/>
      <c r="BZ68" s="281"/>
      <c r="CA68" s="281"/>
      <c r="CB68" s="281"/>
      <c r="CC68" s="281"/>
    </row>
    <row r="69" spans="1:81" s="281" customFormat="1" ht="32" x14ac:dyDescent="0.35">
      <c r="A69" s="283"/>
      <c r="B69" s="284" t="s">
        <v>365</v>
      </c>
      <c r="C69" s="274" t="s">
        <v>81</v>
      </c>
      <c r="D69" s="285" t="s">
        <v>111</v>
      </c>
      <c r="E69" s="274"/>
      <c r="F69" s="286">
        <v>0</v>
      </c>
      <c r="G69" s="286"/>
      <c r="H69" s="272">
        <f t="shared" si="6"/>
        <v>0</v>
      </c>
      <c r="I69" s="272"/>
      <c r="J69" s="274"/>
      <c r="K69" s="274"/>
      <c r="L69" s="271">
        <f t="shared" si="24"/>
        <v>0</v>
      </c>
      <c r="M69" s="272">
        <v>221619148</v>
      </c>
      <c r="N69" s="273">
        <v>1</v>
      </c>
      <c r="O69" s="274">
        <v>1</v>
      </c>
      <c r="P69" s="271">
        <f t="shared" si="25"/>
        <v>221619148</v>
      </c>
      <c r="Q69" s="275">
        <f t="shared" si="7"/>
        <v>221619148</v>
      </c>
      <c r="R69" s="274" t="s">
        <v>260</v>
      </c>
      <c r="S69" s="274"/>
      <c r="T69" s="274" t="s">
        <v>90</v>
      </c>
      <c r="U69" s="287">
        <v>45731</v>
      </c>
      <c r="V69" s="287">
        <f>U69+90</f>
        <v>45821</v>
      </c>
      <c r="W69" s="288"/>
      <c r="X69" s="288"/>
      <c r="Y69" s="288"/>
      <c r="Z69" s="288"/>
      <c r="AA69" s="288"/>
      <c r="AB69" s="288"/>
      <c r="AC69" s="288"/>
      <c r="AD69" s="288"/>
      <c r="AE69" s="288"/>
      <c r="AF69" s="288"/>
      <c r="AG69" s="288"/>
      <c r="AH69" s="288"/>
      <c r="AI69" s="278"/>
      <c r="AJ69" s="279" t="s">
        <v>148</v>
      </c>
      <c r="AK69" s="280"/>
      <c r="AL69" s="280"/>
    </row>
    <row r="70" spans="1:81" s="155" customFormat="1" ht="25.5" customHeight="1" x14ac:dyDescent="0.35">
      <c r="A70" s="144" t="s">
        <v>34</v>
      </c>
      <c r="B70" s="145" t="s">
        <v>35</v>
      </c>
      <c r="C70" s="32"/>
      <c r="D70" s="208"/>
      <c r="E70" s="31">
        <f>SUM(E71:E71)</f>
        <v>0</v>
      </c>
      <c r="F70" s="31">
        <v>0</v>
      </c>
      <c r="G70" s="31">
        <f>SUM(G71:G71)</f>
        <v>0</v>
      </c>
      <c r="H70" s="31">
        <f>SUM(H71:H71)</f>
        <v>0</v>
      </c>
      <c r="I70" s="147"/>
      <c r="J70" s="32"/>
      <c r="K70" s="148"/>
      <c r="L70" s="31">
        <f>SUM(L71:L71)</f>
        <v>0</v>
      </c>
      <c r="M70" s="122"/>
      <c r="N70" s="158"/>
      <c r="O70" s="88"/>
      <c r="P70" s="31">
        <f>SUM(P71:P71)</f>
        <v>0</v>
      </c>
      <c r="Q70" s="32">
        <f>SUM(Q71:Q71)</f>
        <v>0</v>
      </c>
      <c r="R70" s="149"/>
      <c r="S70" s="149"/>
      <c r="T70" s="149"/>
      <c r="U70" s="151"/>
      <c r="V70" s="151"/>
      <c r="W70" s="151"/>
      <c r="X70" s="151"/>
      <c r="Y70" s="151"/>
      <c r="Z70" s="151"/>
      <c r="AA70" s="151"/>
      <c r="AB70" s="151"/>
      <c r="AC70" s="151"/>
      <c r="AD70" s="151"/>
      <c r="AE70" s="151"/>
      <c r="AF70" s="151"/>
      <c r="AG70" s="151"/>
      <c r="AH70" s="151"/>
      <c r="AI70" s="152"/>
      <c r="AJ70" s="153"/>
      <c r="AK70" s="154">
        <f>SUM(AK71:AK71)</f>
        <v>0</v>
      </c>
      <c r="AL70" s="154">
        <f t="shared" ref="AL70:AV70" si="32">SUM(AL71:AL71)</f>
        <v>0</v>
      </c>
      <c r="AM70" s="154">
        <f t="shared" si="32"/>
        <v>0</v>
      </c>
      <c r="AN70" s="154">
        <f t="shared" si="32"/>
        <v>0</v>
      </c>
      <c r="AO70" s="154">
        <f t="shared" si="32"/>
        <v>0</v>
      </c>
      <c r="AP70" s="154">
        <f t="shared" si="32"/>
        <v>0</v>
      </c>
      <c r="AQ70" s="154">
        <f t="shared" si="32"/>
        <v>0</v>
      </c>
      <c r="AR70" s="154">
        <f t="shared" si="32"/>
        <v>0</v>
      </c>
      <c r="AS70" s="154">
        <f t="shared" si="32"/>
        <v>0</v>
      </c>
      <c r="AT70" s="154">
        <f t="shared" si="32"/>
        <v>0</v>
      </c>
      <c r="AU70" s="154">
        <f t="shared" si="32"/>
        <v>0</v>
      </c>
      <c r="AV70" s="154">
        <f t="shared" si="32"/>
        <v>0</v>
      </c>
      <c r="AW70" s="154"/>
    </row>
    <row r="71" spans="1:81" s="175" customFormat="1" x14ac:dyDescent="0.35">
      <c r="A71" s="162"/>
      <c r="B71" s="163"/>
      <c r="C71" s="164"/>
      <c r="D71" s="209"/>
      <c r="E71" s="164"/>
      <c r="F71" s="9"/>
      <c r="G71" s="9"/>
      <c r="H71" s="2"/>
      <c r="I71" s="165"/>
      <c r="J71" s="164"/>
      <c r="K71" s="164"/>
      <c r="L71" s="166"/>
      <c r="M71" s="167"/>
      <c r="N71" s="168"/>
      <c r="O71" s="168"/>
      <c r="P71" s="166"/>
      <c r="Q71" s="17"/>
      <c r="R71" s="164"/>
      <c r="S71" s="164"/>
      <c r="T71" s="164"/>
      <c r="U71" s="169"/>
      <c r="V71" s="169"/>
      <c r="W71" s="170"/>
      <c r="X71" s="170"/>
      <c r="Y71" s="170"/>
      <c r="Z71" s="170"/>
      <c r="AA71" s="170"/>
      <c r="AB71" s="170"/>
      <c r="AC71" s="170"/>
      <c r="AD71" s="170"/>
      <c r="AE71" s="170"/>
      <c r="AF71" s="170"/>
      <c r="AG71" s="170"/>
      <c r="AH71" s="170"/>
      <c r="AI71" s="171"/>
      <c r="AJ71" s="172"/>
      <c r="AK71" s="173"/>
      <c r="AL71" s="173"/>
      <c r="AM71" s="173"/>
      <c r="AN71" s="173"/>
      <c r="AO71" s="173"/>
      <c r="AP71" s="173"/>
      <c r="AQ71" s="173"/>
      <c r="AR71" s="173"/>
      <c r="AS71" s="173"/>
      <c r="AT71" s="173"/>
      <c r="AU71" s="173"/>
      <c r="AV71" s="173"/>
      <c r="AW71" s="173"/>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row>
    <row r="72" spans="1:81" s="155" customFormat="1" ht="35" x14ac:dyDescent="0.35">
      <c r="A72" s="144" t="s">
        <v>238</v>
      </c>
      <c r="B72" s="176" t="s">
        <v>239</v>
      </c>
      <c r="C72" s="32"/>
      <c r="D72" s="208"/>
      <c r="E72" s="31">
        <f>SUM(E73:E73)</f>
        <v>0</v>
      </c>
      <c r="F72" s="31">
        <f t="shared" ref="F72:H72" si="33">SUM(F73:F73)</f>
        <v>0</v>
      </c>
      <c r="G72" s="31">
        <f t="shared" si="33"/>
        <v>0</v>
      </c>
      <c r="H72" s="31">
        <f t="shared" si="33"/>
        <v>0</v>
      </c>
      <c r="I72" s="147"/>
      <c r="J72" s="32"/>
      <c r="K72" s="148"/>
      <c r="L72" s="31">
        <f>SUM(L73:L73)</f>
        <v>0</v>
      </c>
      <c r="M72" s="122"/>
      <c r="N72" s="158"/>
      <c r="O72" s="88"/>
      <c r="P72" s="31">
        <f>SUM(P73:P73)</f>
        <v>80000000</v>
      </c>
      <c r="Q72" s="31">
        <f t="shared" ref="Q72" si="34">SUM(Q73:Q73)</f>
        <v>80000000</v>
      </c>
      <c r="R72" s="149"/>
      <c r="S72" s="149"/>
      <c r="T72" s="149"/>
      <c r="U72" s="151"/>
      <c r="V72" s="151"/>
      <c r="W72" s="151"/>
      <c r="X72" s="151"/>
      <c r="Y72" s="151"/>
      <c r="Z72" s="151"/>
      <c r="AA72" s="151"/>
      <c r="AB72" s="151"/>
      <c r="AC72" s="151"/>
      <c r="AD72" s="151"/>
      <c r="AE72" s="151"/>
      <c r="AF72" s="151"/>
      <c r="AG72" s="151"/>
      <c r="AH72" s="151"/>
      <c r="AI72" s="152"/>
      <c r="AJ72" s="153"/>
      <c r="AK72" s="154">
        <f>SUM(AK73:AK73)</f>
        <v>0</v>
      </c>
      <c r="AL72" s="154">
        <f t="shared" ref="AL72:AV72" si="35">SUM(AL73:AL73)</f>
        <v>0</v>
      </c>
      <c r="AM72" s="154">
        <f t="shared" si="35"/>
        <v>0</v>
      </c>
      <c r="AN72" s="154">
        <f t="shared" si="35"/>
        <v>0</v>
      </c>
      <c r="AO72" s="154">
        <f t="shared" si="35"/>
        <v>0</v>
      </c>
      <c r="AP72" s="154">
        <f t="shared" si="35"/>
        <v>0</v>
      </c>
      <c r="AQ72" s="154">
        <f t="shared" si="35"/>
        <v>0</v>
      </c>
      <c r="AR72" s="154">
        <f t="shared" si="35"/>
        <v>0</v>
      </c>
      <c r="AS72" s="154">
        <f t="shared" si="35"/>
        <v>0</v>
      </c>
      <c r="AT72" s="154">
        <f t="shared" si="35"/>
        <v>0</v>
      </c>
      <c r="AU72" s="154">
        <f t="shared" si="35"/>
        <v>0</v>
      </c>
      <c r="AV72" s="154">
        <f t="shared" si="35"/>
        <v>0</v>
      </c>
      <c r="AW72" s="154"/>
    </row>
    <row r="73" spans="1:81" s="282" customFormat="1" ht="32" x14ac:dyDescent="0.35">
      <c r="A73" s="265"/>
      <c r="B73" s="266" t="s">
        <v>240</v>
      </c>
      <c r="C73" s="267" t="s">
        <v>279</v>
      </c>
      <c r="D73" s="268" t="s">
        <v>14</v>
      </c>
      <c r="E73" s="267"/>
      <c r="F73" s="269">
        <v>0</v>
      </c>
      <c r="G73" s="269"/>
      <c r="H73" s="270">
        <f t="shared" ref="H73" si="36">+E73-(F73+G73)</f>
        <v>0</v>
      </c>
      <c r="I73" s="270"/>
      <c r="J73" s="267"/>
      <c r="K73" s="267"/>
      <c r="L73" s="271">
        <f>+I73*K73*J73</f>
        <v>0</v>
      </c>
      <c r="M73" s="272">
        <v>80000000</v>
      </c>
      <c r="N73" s="273">
        <v>1</v>
      </c>
      <c r="O73" s="274">
        <v>1</v>
      </c>
      <c r="P73" s="271">
        <f>+M73*O73*N73</f>
        <v>80000000</v>
      </c>
      <c r="Q73" s="275">
        <f t="shared" ref="Q73" si="37">P73+L73</f>
        <v>80000000</v>
      </c>
      <c r="R73" s="267" t="s">
        <v>155</v>
      </c>
      <c r="S73" s="267" t="s">
        <v>17</v>
      </c>
      <c r="T73" s="267" t="s">
        <v>75</v>
      </c>
      <c r="U73" s="276">
        <v>45672</v>
      </c>
      <c r="V73" s="276">
        <f>U73+90</f>
        <v>45762</v>
      </c>
      <c r="W73" s="277"/>
      <c r="X73" s="277"/>
      <c r="Y73" s="277"/>
      <c r="Z73" s="277"/>
      <c r="AA73" s="277"/>
      <c r="AB73" s="277"/>
      <c r="AC73" s="277"/>
      <c r="AD73" s="277"/>
      <c r="AE73" s="277"/>
      <c r="AF73" s="277"/>
      <c r="AG73" s="277"/>
      <c r="AH73" s="277"/>
      <c r="AI73" s="278"/>
      <c r="AJ73" s="279" t="s">
        <v>148</v>
      </c>
      <c r="AK73" s="280"/>
      <c r="AL73" s="280"/>
      <c r="AM73" s="280"/>
      <c r="AN73" s="280"/>
      <c r="AO73" s="280"/>
      <c r="AP73" s="280"/>
      <c r="AQ73" s="280"/>
      <c r="AR73" s="280"/>
      <c r="AS73" s="280"/>
      <c r="AT73" s="280"/>
      <c r="AU73" s="280"/>
      <c r="AV73" s="280"/>
      <c r="AW73" s="280"/>
      <c r="AX73" s="281"/>
      <c r="AY73" s="281"/>
      <c r="AZ73" s="281"/>
      <c r="BA73" s="281"/>
      <c r="BB73" s="281"/>
      <c r="BC73" s="281"/>
      <c r="BD73" s="281"/>
      <c r="BE73" s="281"/>
      <c r="BF73" s="281"/>
      <c r="BG73" s="281"/>
      <c r="BH73" s="281"/>
      <c r="BI73" s="281"/>
      <c r="BJ73" s="281"/>
      <c r="BK73" s="281"/>
      <c r="BL73" s="281"/>
      <c r="BM73" s="281"/>
      <c r="BN73" s="281"/>
      <c r="BO73" s="281"/>
      <c r="BP73" s="281"/>
      <c r="BQ73" s="281"/>
      <c r="BR73" s="281"/>
      <c r="BS73" s="281"/>
      <c r="BT73" s="281"/>
      <c r="BU73" s="281"/>
      <c r="BV73" s="281"/>
      <c r="BW73" s="281"/>
      <c r="BX73" s="281"/>
      <c r="BY73" s="281"/>
      <c r="BZ73" s="281"/>
      <c r="CA73" s="281"/>
      <c r="CB73" s="281"/>
      <c r="CC73" s="281"/>
    </row>
    <row r="74" spans="1:81" s="155" customFormat="1" ht="25.5" customHeight="1" x14ac:dyDescent="0.35">
      <c r="A74" s="144" t="s">
        <v>132</v>
      </c>
      <c r="B74" s="145" t="s">
        <v>237</v>
      </c>
      <c r="C74" s="32"/>
      <c r="D74" s="208"/>
      <c r="E74" s="31">
        <f>SUM(E75:E248)</f>
        <v>5271234013.6999998</v>
      </c>
      <c r="F74" s="31">
        <f>SUM(F75:F248)</f>
        <v>2656647267</v>
      </c>
      <c r="G74" s="31">
        <f>SUM(G75:G248)</f>
        <v>206730342</v>
      </c>
      <c r="H74" s="31">
        <f>SUM(H75:H248)</f>
        <v>2479849542.6999998</v>
      </c>
      <c r="I74" s="147"/>
      <c r="J74" s="32"/>
      <c r="K74" s="148"/>
      <c r="L74" s="31">
        <f>SUM(L75)</f>
        <v>0</v>
      </c>
      <c r="M74" s="31">
        <f t="shared" ref="M74:Q74" si="38">SUM(M75)</f>
        <v>0</v>
      </c>
      <c r="N74" s="31">
        <f t="shared" si="38"/>
        <v>0</v>
      </c>
      <c r="O74" s="31">
        <f t="shared" si="38"/>
        <v>0</v>
      </c>
      <c r="P74" s="31">
        <f t="shared" si="38"/>
        <v>0</v>
      </c>
      <c r="Q74" s="31">
        <f t="shared" si="38"/>
        <v>0</v>
      </c>
      <c r="R74" s="149"/>
      <c r="S74" s="149"/>
      <c r="T74" s="149"/>
      <c r="U74" s="151"/>
      <c r="V74" s="151"/>
      <c r="W74" s="151"/>
      <c r="X74" s="151"/>
      <c r="Y74" s="151"/>
      <c r="Z74" s="151"/>
      <c r="AA74" s="151"/>
      <c r="AB74" s="151"/>
      <c r="AC74" s="151"/>
      <c r="AD74" s="151"/>
      <c r="AE74" s="151"/>
      <c r="AF74" s="151"/>
      <c r="AG74" s="151"/>
      <c r="AH74" s="151"/>
      <c r="AI74" s="152"/>
      <c r="AJ74" s="153"/>
      <c r="AK74" s="154">
        <f t="shared" ref="AK74:AV74" si="39">SUM(AK75)</f>
        <v>0</v>
      </c>
      <c r="AL74" s="154">
        <f t="shared" si="39"/>
        <v>13200000</v>
      </c>
      <c r="AM74" s="154">
        <f t="shared" si="39"/>
        <v>0</v>
      </c>
      <c r="AN74" s="154">
        <f t="shared" si="39"/>
        <v>9900000</v>
      </c>
      <c r="AO74" s="154">
        <f t="shared" si="39"/>
        <v>0</v>
      </c>
      <c r="AP74" s="154">
        <f t="shared" si="39"/>
        <v>0</v>
      </c>
      <c r="AQ74" s="154">
        <f t="shared" si="39"/>
        <v>0</v>
      </c>
      <c r="AR74" s="154">
        <f t="shared" si="39"/>
        <v>0</v>
      </c>
      <c r="AS74" s="154">
        <f t="shared" si="39"/>
        <v>0</v>
      </c>
      <c r="AT74" s="154">
        <f t="shared" si="39"/>
        <v>0</v>
      </c>
      <c r="AU74" s="154">
        <f t="shared" si="39"/>
        <v>0</v>
      </c>
      <c r="AV74" s="154">
        <f t="shared" si="39"/>
        <v>0</v>
      </c>
      <c r="AW74" s="154"/>
    </row>
    <row r="75" spans="1:81" ht="32" x14ac:dyDescent="0.35">
      <c r="A75" s="11"/>
      <c r="B75" s="36" t="s">
        <v>366</v>
      </c>
      <c r="C75" s="1" t="s">
        <v>36</v>
      </c>
      <c r="D75" s="205" t="s">
        <v>37</v>
      </c>
      <c r="E75" s="2">
        <v>33000000</v>
      </c>
      <c r="F75" s="9">
        <v>9900000</v>
      </c>
      <c r="G75" s="9"/>
      <c r="H75" s="2">
        <f t="shared" si="6"/>
        <v>23100000</v>
      </c>
      <c r="I75" s="2"/>
      <c r="J75" s="1"/>
      <c r="K75" s="1"/>
      <c r="L75" s="3">
        <f>+I75*K75*J75</f>
        <v>0</v>
      </c>
      <c r="M75" s="28"/>
      <c r="N75" s="26"/>
      <c r="O75" s="26"/>
      <c r="P75" s="3">
        <f>+M75*O75*N75</f>
        <v>0</v>
      </c>
      <c r="Q75" s="17">
        <f t="shared" si="7"/>
        <v>0</v>
      </c>
      <c r="R75" s="1" t="s">
        <v>262</v>
      </c>
      <c r="S75" s="1"/>
      <c r="T75" s="1" t="s">
        <v>90</v>
      </c>
      <c r="U75" s="33">
        <v>45475</v>
      </c>
      <c r="V75" s="33">
        <f>+U75+160</f>
        <v>45635</v>
      </c>
      <c r="W75" s="13"/>
      <c r="X75" s="13"/>
      <c r="Y75" s="13"/>
      <c r="Z75" s="13"/>
      <c r="AA75" s="13"/>
      <c r="AB75" s="13"/>
      <c r="AC75" s="13"/>
      <c r="AD75" s="13"/>
      <c r="AE75" s="13"/>
      <c r="AF75" s="13"/>
      <c r="AG75" s="13"/>
      <c r="AH75" s="13"/>
      <c r="AI75" s="13"/>
      <c r="AJ75" s="80" t="s">
        <v>150</v>
      </c>
      <c r="AL75" s="330">
        <f>23100000-AN75</f>
        <v>13200000</v>
      </c>
      <c r="AN75" s="9">
        <v>9900000</v>
      </c>
    </row>
    <row r="76" spans="1:81" s="155" customFormat="1" ht="22.25" customHeight="1" x14ac:dyDescent="0.35">
      <c r="A76" s="144" t="s">
        <v>131</v>
      </c>
      <c r="B76" s="145" t="s">
        <v>38</v>
      </c>
      <c r="C76" s="32"/>
      <c r="D76" s="208"/>
      <c r="E76" s="31">
        <f>SUM(E77:E77)</f>
        <v>0</v>
      </c>
      <c r="F76" s="31">
        <v>0</v>
      </c>
      <c r="G76" s="31">
        <f>SUM(G77:G77)</f>
        <v>0</v>
      </c>
      <c r="H76" s="31">
        <f>SUM(H77:H77)</f>
        <v>0</v>
      </c>
      <c r="I76" s="147"/>
      <c r="J76" s="32"/>
      <c r="K76" s="148"/>
      <c r="L76" s="31">
        <f>SUM(L77:L77)</f>
        <v>0</v>
      </c>
      <c r="M76" s="122"/>
      <c r="N76" s="158"/>
      <c r="O76" s="88"/>
      <c r="P76" s="31">
        <f>SUM(P77:P77)</f>
        <v>11258330</v>
      </c>
      <c r="Q76" s="31">
        <f>SUM(Q77:Q77)</f>
        <v>11258330</v>
      </c>
      <c r="R76" s="149"/>
      <c r="S76" s="149"/>
      <c r="T76" s="149"/>
      <c r="U76" s="151"/>
      <c r="V76" s="151"/>
      <c r="W76" s="151"/>
      <c r="X76" s="151"/>
      <c r="Y76" s="151"/>
      <c r="Z76" s="151"/>
      <c r="AA76" s="151"/>
      <c r="AB76" s="151"/>
      <c r="AC76" s="151"/>
      <c r="AD76" s="151"/>
      <c r="AE76" s="151"/>
      <c r="AF76" s="151"/>
      <c r="AG76" s="151"/>
      <c r="AH76" s="151"/>
      <c r="AI76" s="152"/>
      <c r="AJ76" s="153"/>
      <c r="AK76" s="154">
        <f>SUM(AK77:AK77)</f>
        <v>0</v>
      </c>
      <c r="AL76" s="154">
        <f t="shared" ref="AL76:AV76" si="40">SUM(AL77:AL77)</f>
        <v>0</v>
      </c>
      <c r="AM76" s="154">
        <f t="shared" si="40"/>
        <v>11258330</v>
      </c>
      <c r="AN76" s="154">
        <f t="shared" si="40"/>
        <v>0</v>
      </c>
      <c r="AO76" s="154">
        <f t="shared" si="40"/>
        <v>0</v>
      </c>
      <c r="AP76" s="154">
        <f t="shared" si="40"/>
        <v>0</v>
      </c>
      <c r="AQ76" s="154">
        <f t="shared" si="40"/>
        <v>0</v>
      </c>
      <c r="AR76" s="154">
        <f t="shared" si="40"/>
        <v>0</v>
      </c>
      <c r="AS76" s="154">
        <f t="shared" si="40"/>
        <v>0</v>
      </c>
      <c r="AT76" s="154">
        <f t="shared" si="40"/>
        <v>0</v>
      </c>
      <c r="AU76" s="154">
        <f t="shared" si="40"/>
        <v>0</v>
      </c>
      <c r="AV76" s="154">
        <f t="shared" si="40"/>
        <v>0</v>
      </c>
    </row>
    <row r="77" spans="1:81" s="281" customFormat="1" ht="43.25" customHeight="1" x14ac:dyDescent="0.35">
      <c r="A77" s="283"/>
      <c r="B77" s="284" t="s">
        <v>39</v>
      </c>
      <c r="C77" s="274" t="s">
        <v>335</v>
      </c>
      <c r="D77" s="285" t="s">
        <v>30</v>
      </c>
      <c r="E77" s="274"/>
      <c r="F77" s="286">
        <v>0</v>
      </c>
      <c r="G77" s="286"/>
      <c r="H77" s="272">
        <f t="shared" ref="H77" si="41">+E77-(F77+G77)</f>
        <v>0</v>
      </c>
      <c r="I77" s="272"/>
      <c r="J77" s="273"/>
      <c r="K77" s="274"/>
      <c r="L77" s="271">
        <f>+I77*K77*J77</f>
        <v>0</v>
      </c>
      <c r="M77" s="272">
        <v>11258330</v>
      </c>
      <c r="N77" s="273">
        <v>1</v>
      </c>
      <c r="O77" s="274">
        <v>1</v>
      </c>
      <c r="P77" s="271">
        <f>+M77*O77*N77</f>
        <v>11258330</v>
      </c>
      <c r="Q77" s="275">
        <f t="shared" ref="Q77" si="42">P77+L77</f>
        <v>11258330</v>
      </c>
      <c r="R77" s="274" t="s">
        <v>263</v>
      </c>
      <c r="S77" s="274"/>
      <c r="T77" s="274" t="s">
        <v>90</v>
      </c>
      <c r="U77" s="287">
        <v>45689</v>
      </c>
      <c r="V77" s="287">
        <f>+U77+30</f>
        <v>45719</v>
      </c>
      <c r="W77" s="288"/>
      <c r="X77" s="288"/>
      <c r="Y77" s="288"/>
      <c r="Z77" s="288"/>
      <c r="AA77" s="288"/>
      <c r="AB77" s="288"/>
      <c r="AC77" s="288"/>
      <c r="AD77" s="288"/>
      <c r="AE77" s="288"/>
      <c r="AF77" s="288"/>
      <c r="AG77" s="288"/>
      <c r="AH77" s="288"/>
      <c r="AI77" s="278"/>
      <c r="AJ77" s="279" t="s">
        <v>148</v>
      </c>
      <c r="AK77" s="280"/>
      <c r="AL77" s="280"/>
      <c r="AM77" s="336">
        <f>+P77</f>
        <v>11258330</v>
      </c>
      <c r="AN77" s="280"/>
      <c r="AO77" s="280"/>
      <c r="AP77" s="280"/>
      <c r="AQ77" s="280"/>
      <c r="AR77" s="280"/>
      <c r="AS77" s="280"/>
      <c r="AT77" s="280"/>
      <c r="AU77" s="280"/>
      <c r="AV77" s="280"/>
    </row>
    <row r="78" spans="1:81" s="155" customFormat="1" ht="22.25" customHeight="1" x14ac:dyDescent="0.35">
      <c r="A78" s="144" t="s">
        <v>130</v>
      </c>
      <c r="B78" s="145" t="s">
        <v>126</v>
      </c>
      <c r="C78" s="32"/>
      <c r="D78" s="208"/>
      <c r="E78" s="31">
        <f>SUM(E79:E85)</f>
        <v>0</v>
      </c>
      <c r="F78" s="31">
        <f t="shared" ref="F78:H78" si="43">SUM(F79:F85)</f>
        <v>0</v>
      </c>
      <c r="G78" s="31">
        <f t="shared" si="43"/>
        <v>0</v>
      </c>
      <c r="H78" s="31">
        <f t="shared" si="43"/>
        <v>0</v>
      </c>
      <c r="I78" s="147"/>
      <c r="J78" s="32"/>
      <c r="K78" s="148"/>
      <c r="L78" s="31">
        <f>SUM(L79:L85)</f>
        <v>1700160000</v>
      </c>
      <c r="M78" s="122"/>
      <c r="N78" s="158"/>
      <c r="O78" s="88"/>
      <c r="P78" s="31">
        <f t="shared" ref="P78:Q78" si="44">SUM(P79:P85)</f>
        <v>2062500000</v>
      </c>
      <c r="Q78" s="31">
        <f t="shared" si="44"/>
        <v>3762660000</v>
      </c>
      <c r="R78" s="149"/>
      <c r="S78" s="149"/>
      <c r="T78" s="149"/>
      <c r="U78" s="151"/>
      <c r="V78" s="151"/>
      <c r="W78" s="151"/>
      <c r="X78" s="151"/>
      <c r="Y78" s="151"/>
      <c r="Z78" s="151"/>
      <c r="AA78" s="151"/>
      <c r="AB78" s="151"/>
      <c r="AC78" s="151"/>
      <c r="AD78" s="151"/>
      <c r="AE78" s="151"/>
      <c r="AF78" s="151"/>
      <c r="AG78" s="151"/>
      <c r="AH78" s="151"/>
      <c r="AI78" s="152"/>
      <c r="AJ78" s="153"/>
      <c r="AK78" s="154">
        <f t="shared" ref="AK78:AV78" si="45">SUM(AK79:AK85)</f>
        <v>0</v>
      </c>
      <c r="AL78" s="154">
        <f t="shared" si="45"/>
        <v>1663275000</v>
      </c>
      <c r="AM78" s="154">
        <f t="shared" si="45"/>
        <v>11160000</v>
      </c>
      <c r="AN78" s="154">
        <f t="shared" si="45"/>
        <v>9000000</v>
      </c>
      <c r="AO78" s="154">
        <f t="shared" si="45"/>
        <v>87000000</v>
      </c>
      <c r="AP78" s="154">
        <f t="shared" si="45"/>
        <v>16275000</v>
      </c>
      <c r="AQ78" s="154">
        <f t="shared" si="45"/>
        <v>9000000</v>
      </c>
      <c r="AR78" s="154">
        <f t="shared" si="45"/>
        <v>120000000</v>
      </c>
      <c r="AS78" s="154">
        <f t="shared" si="45"/>
        <v>0</v>
      </c>
      <c r="AT78" s="154">
        <f t="shared" si="45"/>
        <v>60000000</v>
      </c>
      <c r="AU78" s="154">
        <f t="shared" si="45"/>
        <v>1707000000</v>
      </c>
      <c r="AV78" s="154">
        <f t="shared" si="45"/>
        <v>0</v>
      </c>
    </row>
    <row r="79" spans="1:81" s="15" customFormat="1" ht="32" x14ac:dyDescent="0.35">
      <c r="A79" s="11"/>
      <c r="B79" s="36" t="s">
        <v>369</v>
      </c>
      <c r="C79" s="1" t="s">
        <v>279</v>
      </c>
      <c r="D79" s="205" t="s">
        <v>111</v>
      </c>
      <c r="E79" s="1"/>
      <c r="F79" s="9">
        <v>0</v>
      </c>
      <c r="G79" s="9"/>
      <c r="H79" s="2">
        <f t="shared" ref="H79:H85" si="46">+E79-(F79+G79)</f>
        <v>0</v>
      </c>
      <c r="I79" s="2">
        <v>350000</v>
      </c>
      <c r="J79" s="1">
        <v>120</v>
      </c>
      <c r="K79" s="1">
        <v>1</v>
      </c>
      <c r="L79" s="3">
        <f t="shared" ref="L79:L85" si="47">+I79*K79*J79</f>
        <v>42000000</v>
      </c>
      <c r="M79" s="28">
        <v>350000</v>
      </c>
      <c r="N79" s="26">
        <v>35</v>
      </c>
      <c r="O79" s="26">
        <v>1</v>
      </c>
      <c r="P79" s="3">
        <f t="shared" ref="P79:P85" si="48">+M79*O79*N79</f>
        <v>12250000</v>
      </c>
      <c r="Q79" s="17">
        <f t="shared" ref="Q79:Q85" si="49">P79+L79</f>
        <v>54250000</v>
      </c>
      <c r="R79" s="1" t="s">
        <v>259</v>
      </c>
      <c r="S79" s="1"/>
      <c r="T79" s="1" t="s">
        <v>90</v>
      </c>
      <c r="U79" s="33">
        <v>45611</v>
      </c>
      <c r="V79" s="33">
        <f>U79+240</f>
        <v>45851</v>
      </c>
      <c r="W79" s="12"/>
      <c r="X79" s="12"/>
      <c r="Y79" s="12"/>
      <c r="Z79" s="12"/>
      <c r="AA79" s="12"/>
      <c r="AB79" s="12"/>
      <c r="AC79" s="12"/>
      <c r="AD79" s="12"/>
      <c r="AE79" s="12"/>
      <c r="AF79" s="12"/>
      <c r="AG79" s="12"/>
      <c r="AH79" s="12"/>
      <c r="AI79" s="13"/>
      <c r="AJ79" s="80" t="s">
        <v>149</v>
      </c>
      <c r="AK79" s="75"/>
      <c r="AL79" s="14">
        <f>+Q79*0.3</f>
        <v>16275000</v>
      </c>
      <c r="AM79" s="13"/>
      <c r="AN79" s="13"/>
      <c r="AO79" s="13"/>
      <c r="AP79" s="13">
        <f>+AL79</f>
        <v>16275000</v>
      </c>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row>
    <row r="80" spans="1:81" s="13" customFormat="1" ht="28.9" customHeight="1" x14ac:dyDescent="0.35">
      <c r="A80" s="78"/>
      <c r="B80" s="37" t="s">
        <v>290</v>
      </c>
      <c r="C80" s="26" t="s">
        <v>56</v>
      </c>
      <c r="D80" s="206" t="s">
        <v>18</v>
      </c>
      <c r="E80" s="26"/>
      <c r="F80" s="71">
        <v>0</v>
      </c>
      <c r="G80" s="71"/>
      <c r="H80" s="28">
        <f t="shared" si="46"/>
        <v>0</v>
      </c>
      <c r="I80" s="28">
        <v>93000</v>
      </c>
      <c r="J80" s="26">
        <f>30*4</f>
        <v>120</v>
      </c>
      <c r="K80" s="26">
        <v>1</v>
      </c>
      <c r="L80" s="3">
        <f t="shared" si="47"/>
        <v>11160000</v>
      </c>
      <c r="M80" s="28"/>
      <c r="N80" s="26"/>
      <c r="O80" s="26"/>
      <c r="P80" s="3">
        <f t="shared" si="48"/>
        <v>0</v>
      </c>
      <c r="Q80" s="17">
        <f t="shared" si="49"/>
        <v>11160000</v>
      </c>
      <c r="R80" s="26" t="s">
        <v>259</v>
      </c>
      <c r="S80" s="26"/>
      <c r="T80" s="26" t="s">
        <v>90</v>
      </c>
      <c r="U80" s="34">
        <v>41974</v>
      </c>
      <c r="V80" s="34">
        <f>U80+30</f>
        <v>42004</v>
      </c>
      <c r="W80" s="79"/>
      <c r="X80" s="79"/>
      <c r="Y80" s="79"/>
      <c r="Z80" s="79"/>
      <c r="AA80" s="79"/>
      <c r="AB80" s="79"/>
      <c r="AC80" s="79"/>
      <c r="AD80" s="79"/>
      <c r="AE80" s="79"/>
      <c r="AF80" s="79"/>
      <c r="AG80" s="79"/>
      <c r="AH80" s="79"/>
      <c r="AJ80" s="80" t="s">
        <v>179</v>
      </c>
      <c r="AK80" s="75"/>
      <c r="AL80" s="14"/>
      <c r="AM80" s="335">
        <f>+Q80</f>
        <v>11160000</v>
      </c>
    </row>
    <row r="81" spans="1:81" s="15" customFormat="1" ht="64" x14ac:dyDescent="0.35">
      <c r="A81" s="11"/>
      <c r="B81" s="36" t="s">
        <v>370</v>
      </c>
      <c r="C81" s="1" t="s">
        <v>279</v>
      </c>
      <c r="D81" s="205" t="s">
        <v>112</v>
      </c>
      <c r="E81" s="1"/>
      <c r="F81" s="9">
        <v>0</v>
      </c>
      <c r="G81" s="9"/>
      <c r="H81" s="2">
        <f t="shared" si="46"/>
        <v>0</v>
      </c>
      <c r="I81" s="2"/>
      <c r="J81" s="1"/>
      <c r="K81" s="1"/>
      <c r="L81" s="3">
        <f t="shared" si="47"/>
        <v>0</v>
      </c>
      <c r="M81" s="28">
        <v>300000000</v>
      </c>
      <c r="N81" s="26">
        <v>1</v>
      </c>
      <c r="O81" s="26">
        <v>1</v>
      </c>
      <c r="P81" s="3">
        <f t="shared" si="48"/>
        <v>300000000</v>
      </c>
      <c r="Q81" s="17">
        <f t="shared" si="49"/>
        <v>300000000</v>
      </c>
      <c r="R81" s="1" t="s">
        <v>259</v>
      </c>
      <c r="S81" s="1"/>
      <c r="T81" s="1" t="s">
        <v>90</v>
      </c>
      <c r="U81" s="33">
        <v>45658</v>
      </c>
      <c r="V81" s="33">
        <f>U81+300</f>
        <v>45958</v>
      </c>
      <c r="W81" s="12"/>
      <c r="X81" s="12"/>
      <c r="Y81" s="12"/>
      <c r="Z81" s="12"/>
      <c r="AA81" s="12"/>
      <c r="AB81" s="12"/>
      <c r="AC81" s="12"/>
      <c r="AD81" s="12"/>
      <c r="AE81" s="12"/>
      <c r="AF81" s="12"/>
      <c r="AG81" s="12"/>
      <c r="AH81" s="12"/>
      <c r="AI81" s="13"/>
      <c r="AJ81" s="80" t="s">
        <v>148</v>
      </c>
      <c r="AK81" s="75"/>
      <c r="AL81" s="14"/>
      <c r="AM81" s="13"/>
      <c r="AN81" s="13"/>
      <c r="AO81" s="13">
        <f>+P81*0.2</f>
        <v>60000000</v>
      </c>
      <c r="AP81" s="13"/>
      <c r="AQ81" s="13"/>
      <c r="AR81" s="13">
        <f>+AO81*2</f>
        <v>120000000</v>
      </c>
      <c r="AS81" s="13"/>
      <c r="AT81" s="13">
        <f>+AO81</f>
        <v>60000000</v>
      </c>
      <c r="AU81" s="13">
        <f>+AT81</f>
        <v>60000000</v>
      </c>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row>
    <row r="82" spans="1:81" s="13" customFormat="1" ht="48" x14ac:dyDescent="0.35">
      <c r="A82" s="78"/>
      <c r="B82" s="37" t="s">
        <v>281</v>
      </c>
      <c r="C82" s="26" t="s">
        <v>81</v>
      </c>
      <c r="D82" s="206" t="s">
        <v>112</v>
      </c>
      <c r="E82" s="178"/>
      <c r="F82" s="71"/>
      <c r="G82" s="71"/>
      <c r="H82" s="28"/>
      <c r="I82" s="28"/>
      <c r="J82" s="26"/>
      <c r="K82" s="26"/>
      <c r="L82" s="3"/>
      <c r="M82" s="28">
        <v>85000</v>
      </c>
      <c r="N82" s="26">
        <f>25*6</f>
        <v>150</v>
      </c>
      <c r="O82" s="26">
        <v>3</v>
      </c>
      <c r="P82" s="3">
        <f t="shared" si="48"/>
        <v>38250000</v>
      </c>
      <c r="Q82" s="17">
        <f t="shared" si="49"/>
        <v>38250000</v>
      </c>
      <c r="R82" s="26" t="s">
        <v>259</v>
      </c>
      <c r="S82" s="26"/>
      <c r="T82" s="26" t="s">
        <v>90</v>
      </c>
      <c r="U82" s="34">
        <v>45690</v>
      </c>
      <c r="V82" s="34">
        <f>+U82+90</f>
        <v>45780</v>
      </c>
      <c r="W82" s="79"/>
      <c r="X82" s="79"/>
      <c r="Y82" s="79"/>
      <c r="Z82" s="79"/>
      <c r="AA82" s="79"/>
      <c r="AB82" s="79"/>
      <c r="AC82" s="79"/>
      <c r="AD82" s="79"/>
      <c r="AE82" s="79"/>
      <c r="AF82" s="79"/>
      <c r="AG82" s="79"/>
      <c r="AH82" s="79"/>
      <c r="AJ82" s="80"/>
      <c r="AK82" s="75"/>
      <c r="AL82" s="14"/>
    </row>
    <row r="83" spans="1:81" s="15" customFormat="1" ht="64" x14ac:dyDescent="0.35">
      <c r="A83" s="11"/>
      <c r="B83" s="36" t="s">
        <v>371</v>
      </c>
      <c r="C83" s="1" t="s">
        <v>20</v>
      </c>
      <c r="D83" s="205" t="s">
        <v>112</v>
      </c>
      <c r="E83" s="82"/>
      <c r="F83" s="9"/>
      <c r="G83" s="9"/>
      <c r="H83" s="2"/>
      <c r="I83" s="2"/>
      <c r="J83" s="1"/>
      <c r="K83" s="1"/>
      <c r="L83" s="3"/>
      <c r="M83" s="28">
        <v>20000000</v>
      </c>
      <c r="N83" s="26">
        <v>1</v>
      </c>
      <c r="O83" s="26">
        <v>1</v>
      </c>
      <c r="P83" s="3">
        <f t="shared" si="48"/>
        <v>20000000</v>
      </c>
      <c r="Q83" s="17">
        <f t="shared" si="49"/>
        <v>20000000</v>
      </c>
      <c r="R83" s="1" t="s">
        <v>259</v>
      </c>
      <c r="S83" s="1"/>
      <c r="T83" s="1" t="s">
        <v>90</v>
      </c>
      <c r="U83" s="33">
        <f>+V82</f>
        <v>45780</v>
      </c>
      <c r="V83" s="33">
        <f>U83+45</f>
        <v>45825</v>
      </c>
      <c r="W83" s="12"/>
      <c r="X83" s="12"/>
      <c r="Y83" s="12"/>
      <c r="Z83" s="12"/>
      <c r="AA83" s="12"/>
      <c r="AB83" s="12"/>
      <c r="AC83" s="12"/>
      <c r="AD83" s="12"/>
      <c r="AE83" s="12"/>
      <c r="AF83" s="12"/>
      <c r="AG83" s="12"/>
      <c r="AH83" s="12"/>
      <c r="AI83" s="13"/>
      <c r="AJ83" s="80"/>
      <c r="AK83" s="75"/>
      <c r="AL83" s="14"/>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row>
    <row r="84" spans="1:81" s="15" customFormat="1" ht="48" x14ac:dyDescent="0.35">
      <c r="A84" s="11"/>
      <c r="B84" s="36" t="s">
        <v>372</v>
      </c>
      <c r="C84" s="1" t="s">
        <v>119</v>
      </c>
      <c r="D84" s="205" t="s">
        <v>373</v>
      </c>
      <c r="E84" s="1"/>
      <c r="F84" s="9">
        <v>0</v>
      </c>
      <c r="G84" s="9"/>
      <c r="H84" s="2">
        <f t="shared" si="46"/>
        <v>0</v>
      </c>
      <c r="I84" s="2">
        <f>2700000*610</f>
        <v>1647000000</v>
      </c>
      <c r="J84" s="1">
        <v>1</v>
      </c>
      <c r="K84" s="1">
        <v>1</v>
      </c>
      <c r="L84" s="3">
        <f t="shared" si="47"/>
        <v>1647000000</v>
      </c>
      <c r="M84" s="28">
        <f>2700000*610</f>
        <v>1647000000</v>
      </c>
      <c r="N84" s="26">
        <v>1</v>
      </c>
      <c r="O84" s="26">
        <v>1</v>
      </c>
      <c r="P84" s="3">
        <f t="shared" si="48"/>
        <v>1647000000</v>
      </c>
      <c r="Q84" s="17">
        <f t="shared" si="49"/>
        <v>3294000000</v>
      </c>
      <c r="R84" s="1" t="s">
        <v>259</v>
      </c>
      <c r="S84" s="1"/>
      <c r="T84" s="1" t="s">
        <v>90</v>
      </c>
      <c r="U84" s="33">
        <v>45597</v>
      </c>
      <c r="V84" s="33">
        <f>U84+730</f>
        <v>46327</v>
      </c>
      <c r="W84" s="12"/>
      <c r="X84" s="12"/>
      <c r="Y84" s="12"/>
      <c r="Z84" s="12"/>
      <c r="AA84" s="12"/>
      <c r="AB84" s="12"/>
      <c r="AC84" s="12"/>
      <c r="AD84" s="12"/>
      <c r="AE84" s="12"/>
      <c r="AF84" s="12"/>
      <c r="AG84" s="12"/>
      <c r="AH84" s="12"/>
      <c r="AI84" s="13"/>
      <c r="AJ84" s="80" t="s">
        <v>192</v>
      </c>
      <c r="AK84" s="75"/>
      <c r="AL84" s="334">
        <f>+P84</f>
        <v>1647000000</v>
      </c>
      <c r="AM84" s="13"/>
      <c r="AN84" s="13"/>
      <c r="AO84" s="13"/>
      <c r="AP84" s="13"/>
      <c r="AQ84" s="13"/>
      <c r="AR84" s="13"/>
      <c r="AS84" s="13"/>
      <c r="AT84" s="13"/>
      <c r="AU84" s="335">
        <f>+AL84</f>
        <v>1647000000</v>
      </c>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row>
    <row r="85" spans="1:81" s="15" customFormat="1" ht="45" customHeight="1" x14ac:dyDescent="0.35">
      <c r="A85" s="11"/>
      <c r="B85" s="36" t="s">
        <v>374</v>
      </c>
      <c r="C85" s="1" t="s">
        <v>279</v>
      </c>
      <c r="D85" s="205" t="s">
        <v>120</v>
      </c>
      <c r="E85" s="1"/>
      <c r="F85" s="9">
        <v>0</v>
      </c>
      <c r="G85" s="9"/>
      <c r="H85" s="2">
        <f t="shared" si="46"/>
        <v>0</v>
      </c>
      <c r="I85" s="2"/>
      <c r="J85" s="1"/>
      <c r="K85" s="1"/>
      <c r="L85" s="3">
        <f t="shared" si="47"/>
        <v>0</v>
      </c>
      <c r="M85" s="28">
        <v>45000000</v>
      </c>
      <c r="N85" s="26">
        <v>1</v>
      </c>
      <c r="O85" s="26">
        <v>1</v>
      </c>
      <c r="P85" s="3">
        <f t="shared" si="48"/>
        <v>45000000</v>
      </c>
      <c r="Q85" s="17">
        <f t="shared" si="49"/>
        <v>45000000</v>
      </c>
      <c r="R85" s="1" t="s">
        <v>259</v>
      </c>
      <c r="S85" s="1"/>
      <c r="T85" s="1" t="s">
        <v>90</v>
      </c>
      <c r="U85" s="33">
        <v>45689</v>
      </c>
      <c r="V85" s="33">
        <f>U85+90</f>
        <v>45779</v>
      </c>
      <c r="W85" s="12"/>
      <c r="X85" s="12"/>
      <c r="Y85" s="12"/>
      <c r="Z85" s="12"/>
      <c r="AA85" s="12"/>
      <c r="AB85" s="12"/>
      <c r="AC85" s="12"/>
      <c r="AD85" s="12"/>
      <c r="AE85" s="12"/>
      <c r="AF85" s="12"/>
      <c r="AG85" s="12"/>
      <c r="AH85" s="12"/>
      <c r="AI85" s="13"/>
      <c r="AJ85" s="80" t="s">
        <v>179</v>
      </c>
      <c r="AK85" s="75"/>
      <c r="AL85" s="14"/>
      <c r="AM85" s="13"/>
      <c r="AN85" s="13">
        <f>+P85*0.2</f>
        <v>9000000</v>
      </c>
      <c r="AO85" s="13">
        <f>+P85*0.6</f>
        <v>27000000</v>
      </c>
      <c r="AP85" s="13"/>
      <c r="AQ85" s="13">
        <f>+AN85</f>
        <v>9000000</v>
      </c>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row>
    <row r="86" spans="1:81" s="155" customFormat="1" ht="22.25" customHeight="1" x14ac:dyDescent="0.35">
      <c r="A86" s="179" t="s">
        <v>129</v>
      </c>
      <c r="B86" s="145" t="s">
        <v>125</v>
      </c>
      <c r="C86" s="32"/>
      <c r="D86" s="208"/>
      <c r="E86" s="31">
        <f>SUM(E87:E94)</f>
        <v>0</v>
      </c>
      <c r="F86" s="31">
        <v>0</v>
      </c>
      <c r="G86" s="31">
        <f>SUM(G87:G94)</f>
        <v>0</v>
      </c>
      <c r="H86" s="31">
        <f>SUM(H87:H94)</f>
        <v>0</v>
      </c>
      <c r="I86" s="147"/>
      <c r="J86" s="32"/>
      <c r="K86" s="148"/>
      <c r="L86" s="31">
        <f>SUM(L87:L94)</f>
        <v>0</v>
      </c>
      <c r="M86" s="122"/>
      <c r="N86" s="158"/>
      <c r="O86" s="88"/>
      <c r="P86" s="31">
        <f>SUM(P87:P94)</f>
        <v>250670000</v>
      </c>
      <c r="Q86" s="31">
        <f t="shared" ref="Q86" si="50">SUM(Q87:Q94)</f>
        <v>250670000</v>
      </c>
      <c r="R86" s="149"/>
      <c r="S86" s="149"/>
      <c r="T86" s="149"/>
      <c r="U86" s="151"/>
      <c r="V86" s="151"/>
      <c r="W86" s="151"/>
      <c r="X86" s="151"/>
      <c r="Y86" s="151"/>
      <c r="Z86" s="151"/>
      <c r="AA86" s="151"/>
      <c r="AB86" s="151"/>
      <c r="AC86" s="151"/>
      <c r="AD86" s="151"/>
      <c r="AE86" s="151"/>
      <c r="AF86" s="151"/>
      <c r="AG86" s="151"/>
      <c r="AH86" s="151"/>
      <c r="AI86" s="152"/>
      <c r="AJ86" s="153"/>
      <c r="AK86" s="154">
        <f>SUM(AK87:AK94)</f>
        <v>0</v>
      </c>
      <c r="AL86" s="154">
        <f t="shared" ref="AL86:AV86" si="51">SUM(AL87:AL94)</f>
        <v>0</v>
      </c>
      <c r="AM86" s="154">
        <f t="shared" si="51"/>
        <v>0</v>
      </c>
      <c r="AN86" s="154">
        <f t="shared" si="51"/>
        <v>0</v>
      </c>
      <c r="AO86" s="154">
        <f t="shared" si="51"/>
        <v>0</v>
      </c>
      <c r="AP86" s="154">
        <f t="shared" si="51"/>
        <v>0</v>
      </c>
      <c r="AQ86" s="154">
        <f t="shared" si="51"/>
        <v>0</v>
      </c>
      <c r="AR86" s="154">
        <f t="shared" si="51"/>
        <v>0</v>
      </c>
      <c r="AS86" s="154">
        <f t="shared" si="51"/>
        <v>0</v>
      </c>
      <c r="AT86" s="154">
        <f t="shared" si="51"/>
        <v>0</v>
      </c>
      <c r="AU86" s="154">
        <f t="shared" si="51"/>
        <v>0</v>
      </c>
      <c r="AV86" s="154">
        <f t="shared" si="51"/>
        <v>0</v>
      </c>
    </row>
    <row r="87" spans="1:81" s="292" customFormat="1" ht="48" x14ac:dyDescent="0.35">
      <c r="A87" s="289"/>
      <c r="B87" s="266" t="s">
        <v>291</v>
      </c>
      <c r="C87" s="267" t="s">
        <v>279</v>
      </c>
      <c r="D87" s="268" t="s">
        <v>112</v>
      </c>
      <c r="E87" s="267"/>
      <c r="F87" s="269">
        <v>0</v>
      </c>
      <c r="G87" s="269"/>
      <c r="H87" s="270">
        <f t="shared" ref="H87:H94" si="52">+E87-(F87+G87)</f>
        <v>0</v>
      </c>
      <c r="I87" s="270"/>
      <c r="J87" s="267"/>
      <c r="K87" s="267"/>
      <c r="L87" s="271">
        <f t="shared" ref="L87:L93" si="53">+I87*K87*J87</f>
        <v>0</v>
      </c>
      <c r="M87" s="272">
        <f>60000000+14000000</f>
        <v>74000000</v>
      </c>
      <c r="N87" s="274">
        <v>1</v>
      </c>
      <c r="O87" s="274">
        <v>1</v>
      </c>
      <c r="P87" s="271">
        <f t="shared" ref="P87:P93" si="54">+M87*O87*N87</f>
        <v>74000000</v>
      </c>
      <c r="Q87" s="275">
        <f t="shared" ref="Q87:Q94" si="55">P87+L87</f>
        <v>74000000</v>
      </c>
      <c r="R87" s="267" t="s">
        <v>193</v>
      </c>
      <c r="S87" s="267"/>
      <c r="T87" s="267" t="s">
        <v>90</v>
      </c>
      <c r="U87" s="276">
        <v>45672</v>
      </c>
      <c r="V87" s="276">
        <f>U87+120</f>
        <v>45792</v>
      </c>
      <c r="W87" s="277"/>
      <c r="X87" s="277"/>
      <c r="Y87" s="277"/>
      <c r="Z87" s="277"/>
      <c r="AA87" s="277"/>
      <c r="AB87" s="277"/>
      <c r="AC87" s="277"/>
      <c r="AD87" s="277"/>
      <c r="AE87" s="277"/>
      <c r="AF87" s="277"/>
      <c r="AG87" s="277"/>
      <c r="AH87" s="277"/>
      <c r="AI87" s="278"/>
      <c r="AJ87" s="279" t="s">
        <v>179</v>
      </c>
      <c r="AK87" s="290"/>
      <c r="AL87" s="291"/>
      <c r="AM87" s="278"/>
      <c r="AN87" s="278"/>
      <c r="AO87" s="278"/>
      <c r="AP87" s="278"/>
      <c r="AQ87" s="278"/>
      <c r="AR87" s="278"/>
      <c r="AS87" s="278"/>
      <c r="AT87" s="278"/>
      <c r="AU87" s="278"/>
      <c r="AV87" s="278"/>
      <c r="AW87" s="278"/>
      <c r="AX87" s="278"/>
      <c r="AY87" s="278"/>
      <c r="AZ87" s="278"/>
      <c r="BA87" s="278"/>
      <c r="BB87" s="278"/>
      <c r="BC87" s="278"/>
      <c r="BD87" s="278"/>
      <c r="BE87" s="278"/>
      <c r="BF87" s="278"/>
      <c r="BG87" s="278"/>
      <c r="BH87" s="278"/>
      <c r="BI87" s="278"/>
      <c r="BJ87" s="278"/>
      <c r="BK87" s="278"/>
      <c r="BL87" s="278"/>
      <c r="BM87" s="278"/>
      <c r="BN87" s="278"/>
      <c r="BO87" s="278"/>
      <c r="BP87" s="278"/>
      <c r="BQ87" s="278"/>
      <c r="BR87" s="278"/>
      <c r="BS87" s="278"/>
      <c r="BT87" s="278"/>
      <c r="BU87" s="278"/>
      <c r="BV87" s="278"/>
      <c r="BW87" s="278"/>
      <c r="BX87" s="278"/>
      <c r="BY87" s="278"/>
      <c r="BZ87" s="278"/>
      <c r="CA87" s="278"/>
      <c r="CB87" s="278"/>
      <c r="CC87" s="278"/>
    </row>
    <row r="88" spans="1:81" s="278" customFormat="1" ht="47.5" customHeight="1" x14ac:dyDescent="0.35">
      <c r="A88" s="283"/>
      <c r="B88" s="284" t="s">
        <v>375</v>
      </c>
      <c r="C88" s="274" t="s">
        <v>81</v>
      </c>
      <c r="D88" s="285" t="s">
        <v>19</v>
      </c>
      <c r="E88" s="274"/>
      <c r="F88" s="286">
        <v>0</v>
      </c>
      <c r="G88" s="286"/>
      <c r="H88" s="272">
        <f t="shared" si="52"/>
        <v>0</v>
      </c>
      <c r="I88" s="272"/>
      <c r="J88" s="274"/>
      <c r="K88" s="274"/>
      <c r="L88" s="271">
        <f t="shared" si="53"/>
        <v>0</v>
      </c>
      <c r="M88" s="272">
        <v>93000</v>
      </c>
      <c r="N88" s="274">
        <f>30*7</f>
        <v>210</v>
      </c>
      <c r="O88" s="274">
        <v>1</v>
      </c>
      <c r="P88" s="271">
        <f t="shared" si="54"/>
        <v>19530000</v>
      </c>
      <c r="Q88" s="275">
        <f t="shared" si="55"/>
        <v>19530000</v>
      </c>
      <c r="R88" s="274" t="s">
        <v>193</v>
      </c>
      <c r="S88" s="274"/>
      <c r="T88" s="274" t="s">
        <v>90</v>
      </c>
      <c r="U88" s="287">
        <v>45672</v>
      </c>
      <c r="V88" s="287">
        <f>U88+120</f>
        <v>45792</v>
      </c>
      <c r="W88" s="288"/>
      <c r="X88" s="288"/>
      <c r="Y88" s="288"/>
      <c r="Z88" s="288"/>
      <c r="AA88" s="288"/>
      <c r="AB88" s="288"/>
      <c r="AC88" s="288"/>
      <c r="AD88" s="288"/>
      <c r="AE88" s="288"/>
      <c r="AF88" s="288"/>
      <c r="AG88" s="288"/>
      <c r="AH88" s="288"/>
      <c r="AJ88" s="279" t="s">
        <v>148</v>
      </c>
      <c r="AK88" s="290"/>
      <c r="AL88" s="291"/>
    </row>
    <row r="89" spans="1:81" s="278" customFormat="1" ht="32" x14ac:dyDescent="0.35">
      <c r="A89" s="283"/>
      <c r="B89" s="284" t="s">
        <v>292</v>
      </c>
      <c r="C89" s="274" t="s">
        <v>81</v>
      </c>
      <c r="D89" s="285" t="s">
        <v>19</v>
      </c>
      <c r="E89" s="274"/>
      <c r="F89" s="286">
        <v>0</v>
      </c>
      <c r="G89" s="286"/>
      <c r="H89" s="272">
        <f t="shared" si="52"/>
        <v>0</v>
      </c>
      <c r="I89" s="272"/>
      <c r="J89" s="274"/>
      <c r="K89" s="274"/>
      <c r="L89" s="271">
        <f t="shared" si="53"/>
        <v>0</v>
      </c>
      <c r="M89" s="272">
        <v>85000</v>
      </c>
      <c r="N89" s="274">
        <f>30*7*3</f>
        <v>630</v>
      </c>
      <c r="O89" s="274">
        <v>1</v>
      </c>
      <c r="P89" s="271">
        <f t="shared" si="54"/>
        <v>53550000</v>
      </c>
      <c r="Q89" s="275">
        <f t="shared" si="55"/>
        <v>53550000</v>
      </c>
      <c r="R89" s="274" t="s">
        <v>193</v>
      </c>
      <c r="S89" s="274"/>
      <c r="T89" s="274" t="s">
        <v>90</v>
      </c>
      <c r="U89" s="287">
        <v>45672</v>
      </c>
      <c r="V89" s="287">
        <f>U89+120</f>
        <v>45792</v>
      </c>
      <c r="W89" s="288"/>
      <c r="X89" s="288"/>
      <c r="Y89" s="288"/>
      <c r="Z89" s="288"/>
      <c r="AA89" s="288"/>
      <c r="AB89" s="288"/>
      <c r="AC89" s="288"/>
      <c r="AD89" s="288"/>
      <c r="AE89" s="288"/>
      <c r="AF89" s="288"/>
      <c r="AG89" s="288"/>
      <c r="AH89" s="288"/>
      <c r="AJ89" s="279" t="s">
        <v>148</v>
      </c>
      <c r="AK89" s="290"/>
      <c r="AL89" s="291"/>
    </row>
    <row r="90" spans="1:81" s="292" customFormat="1" ht="57.75" customHeight="1" x14ac:dyDescent="0.35">
      <c r="A90" s="289"/>
      <c r="B90" s="266" t="s">
        <v>376</v>
      </c>
      <c r="C90" s="267"/>
      <c r="D90" s="268" t="s">
        <v>112</v>
      </c>
      <c r="E90" s="267"/>
      <c r="F90" s="269">
        <v>0</v>
      </c>
      <c r="G90" s="269"/>
      <c r="H90" s="270">
        <f t="shared" si="52"/>
        <v>0</v>
      </c>
      <c r="I90" s="270"/>
      <c r="J90" s="267"/>
      <c r="K90" s="267"/>
      <c r="L90" s="271">
        <f t="shared" si="53"/>
        <v>0</v>
      </c>
      <c r="M90" s="272">
        <v>45000000</v>
      </c>
      <c r="N90" s="274">
        <v>1</v>
      </c>
      <c r="O90" s="274">
        <v>1</v>
      </c>
      <c r="P90" s="271">
        <f t="shared" si="54"/>
        <v>45000000</v>
      </c>
      <c r="Q90" s="275">
        <f t="shared" si="55"/>
        <v>45000000</v>
      </c>
      <c r="R90" s="267" t="s">
        <v>253</v>
      </c>
      <c r="S90" s="267"/>
      <c r="T90" s="267" t="s">
        <v>90</v>
      </c>
      <c r="U90" s="276">
        <v>45731</v>
      </c>
      <c r="V90" s="276">
        <f>U90+120</f>
        <v>45851</v>
      </c>
      <c r="W90" s="277"/>
      <c r="X90" s="277"/>
      <c r="Y90" s="277"/>
      <c r="Z90" s="277"/>
      <c r="AA90" s="277"/>
      <c r="AB90" s="277"/>
      <c r="AC90" s="277"/>
      <c r="AD90" s="277"/>
      <c r="AE90" s="277"/>
      <c r="AF90" s="277"/>
      <c r="AG90" s="277"/>
      <c r="AH90" s="277"/>
      <c r="AI90" s="278"/>
      <c r="AJ90" s="279" t="s">
        <v>148</v>
      </c>
      <c r="AK90" s="290"/>
      <c r="AL90" s="291"/>
      <c r="AM90" s="278"/>
      <c r="AN90" s="278"/>
      <c r="AO90" s="278"/>
      <c r="AP90" s="278"/>
      <c r="AQ90" s="278"/>
      <c r="AR90" s="278"/>
      <c r="AS90" s="278"/>
      <c r="AT90" s="278"/>
      <c r="AU90" s="278"/>
      <c r="AV90" s="278"/>
      <c r="AW90" s="278"/>
      <c r="AX90" s="278"/>
      <c r="AY90" s="278"/>
      <c r="AZ90" s="278"/>
      <c r="BA90" s="278"/>
      <c r="BB90" s="278"/>
      <c r="BC90" s="278"/>
      <c r="BD90" s="278"/>
      <c r="BE90" s="278"/>
      <c r="BF90" s="278"/>
      <c r="BG90" s="278"/>
      <c r="BH90" s="278"/>
      <c r="BI90" s="278"/>
      <c r="BJ90" s="278"/>
      <c r="BK90" s="278"/>
      <c r="BL90" s="278"/>
      <c r="BM90" s="278"/>
      <c r="BN90" s="278"/>
      <c r="BO90" s="278"/>
      <c r="BP90" s="278"/>
      <c r="BQ90" s="278"/>
      <c r="BR90" s="278"/>
      <c r="BS90" s="278"/>
      <c r="BT90" s="278"/>
      <c r="BU90" s="278"/>
      <c r="BV90" s="278"/>
      <c r="BW90" s="278"/>
      <c r="BX90" s="278"/>
      <c r="BY90" s="278"/>
      <c r="BZ90" s="278"/>
      <c r="CA90" s="278"/>
      <c r="CB90" s="278"/>
      <c r="CC90" s="278"/>
    </row>
    <row r="91" spans="1:81" s="278" customFormat="1" ht="32" x14ac:dyDescent="0.35">
      <c r="A91" s="283"/>
      <c r="B91" s="284" t="s">
        <v>377</v>
      </c>
      <c r="C91" s="274" t="s">
        <v>81</v>
      </c>
      <c r="D91" s="285" t="s">
        <v>19</v>
      </c>
      <c r="E91" s="274"/>
      <c r="F91" s="286">
        <v>0</v>
      </c>
      <c r="G91" s="286"/>
      <c r="H91" s="272">
        <f t="shared" si="52"/>
        <v>0</v>
      </c>
      <c r="I91" s="272"/>
      <c r="J91" s="274"/>
      <c r="K91" s="274"/>
      <c r="L91" s="271">
        <f t="shared" si="53"/>
        <v>0</v>
      </c>
      <c r="M91" s="272">
        <v>93000</v>
      </c>
      <c r="N91" s="274">
        <f>45*7</f>
        <v>315</v>
      </c>
      <c r="O91" s="274">
        <v>2</v>
      </c>
      <c r="P91" s="271">
        <f t="shared" si="54"/>
        <v>58590000</v>
      </c>
      <c r="Q91" s="275">
        <f t="shared" si="55"/>
        <v>58590000</v>
      </c>
      <c r="R91" s="274" t="s">
        <v>253</v>
      </c>
      <c r="S91" s="274"/>
      <c r="T91" s="274" t="s">
        <v>90</v>
      </c>
      <c r="U91" s="287">
        <v>45731</v>
      </c>
      <c r="V91" s="287">
        <f>U91+120</f>
        <v>45851</v>
      </c>
      <c r="W91" s="288"/>
      <c r="X91" s="288"/>
      <c r="Y91" s="288"/>
      <c r="Z91" s="288"/>
      <c r="AA91" s="288"/>
      <c r="AB91" s="288"/>
      <c r="AC91" s="288"/>
      <c r="AD91" s="288"/>
      <c r="AE91" s="288"/>
      <c r="AF91" s="288"/>
      <c r="AG91" s="288"/>
      <c r="AH91" s="288"/>
      <c r="AJ91" s="279" t="s">
        <v>148</v>
      </c>
      <c r="AK91" s="290"/>
      <c r="AL91" s="291"/>
    </row>
    <row r="92" spans="1:81" s="13" customFormat="1" ht="58.5" hidden="1" customHeight="1" x14ac:dyDescent="0.35">
      <c r="A92" s="78"/>
      <c r="B92" s="82" t="s">
        <v>122</v>
      </c>
      <c r="C92" s="87"/>
      <c r="D92" s="205" t="s">
        <v>37</v>
      </c>
      <c r="E92" s="1"/>
      <c r="F92" s="9">
        <v>0</v>
      </c>
      <c r="G92" s="9"/>
      <c r="H92" s="2">
        <f t="shared" si="52"/>
        <v>0</v>
      </c>
      <c r="I92" s="2"/>
      <c r="J92" s="1"/>
      <c r="K92" s="1"/>
      <c r="L92" s="3">
        <f t="shared" si="53"/>
        <v>0</v>
      </c>
      <c r="M92" s="122">
        <v>45000000</v>
      </c>
      <c r="N92" s="87">
        <v>0</v>
      </c>
      <c r="O92" s="87">
        <v>1</v>
      </c>
      <c r="P92" s="3">
        <f t="shared" si="54"/>
        <v>0</v>
      </c>
      <c r="Q92" s="17">
        <f t="shared" si="55"/>
        <v>0</v>
      </c>
      <c r="R92" s="87"/>
      <c r="S92" s="87"/>
      <c r="T92" s="87"/>
      <c r="AJ92" s="80" t="s">
        <v>148</v>
      </c>
      <c r="AK92" s="75"/>
      <c r="AL92" s="14"/>
    </row>
    <row r="93" spans="1:81" s="15" customFormat="1" ht="72" hidden="1" x14ac:dyDescent="0.35">
      <c r="A93" s="81"/>
      <c r="B93" s="82" t="s">
        <v>378</v>
      </c>
      <c r="C93" s="1"/>
      <c r="D93" s="205" t="s">
        <v>124</v>
      </c>
      <c r="E93" s="1"/>
      <c r="F93" s="9">
        <v>0</v>
      </c>
      <c r="G93" s="9"/>
      <c r="H93" s="2">
        <f t="shared" si="52"/>
        <v>0</v>
      </c>
      <c r="I93" s="2"/>
      <c r="J93" s="1"/>
      <c r="K93" s="1"/>
      <c r="L93" s="83">
        <f t="shared" si="53"/>
        <v>0</v>
      </c>
      <c r="M93" s="28">
        <v>450000</v>
      </c>
      <c r="N93" s="72">
        <v>60</v>
      </c>
      <c r="O93" s="26">
        <v>0</v>
      </c>
      <c r="P93" s="83">
        <f t="shared" si="54"/>
        <v>0</v>
      </c>
      <c r="Q93" s="17">
        <f t="shared" si="55"/>
        <v>0</v>
      </c>
      <c r="R93" s="1" t="s">
        <v>260</v>
      </c>
      <c r="S93" s="1"/>
      <c r="T93" s="1" t="s">
        <v>90</v>
      </c>
      <c r="U93" s="33"/>
      <c r="V93" s="33"/>
      <c r="W93" s="12"/>
      <c r="X93" s="12"/>
      <c r="Y93" s="12"/>
      <c r="Z93" s="12"/>
      <c r="AA93" s="12"/>
      <c r="AB93" s="12"/>
      <c r="AC93" s="12"/>
      <c r="AD93" s="12"/>
      <c r="AE93" s="12"/>
      <c r="AF93" s="12"/>
      <c r="AG93" s="12"/>
      <c r="AH93" s="12"/>
      <c r="AJ93" s="80" t="s">
        <v>148</v>
      </c>
      <c r="AK93" s="75"/>
      <c r="AL93" s="14"/>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row>
    <row r="94" spans="1:81" s="6" customFormat="1" ht="21.75" customHeight="1" x14ac:dyDescent="0.35">
      <c r="A94" s="81"/>
      <c r="B94" s="82"/>
      <c r="C94" s="1"/>
      <c r="D94" s="205"/>
      <c r="E94" s="1"/>
      <c r="F94" s="9">
        <v>0</v>
      </c>
      <c r="G94" s="9"/>
      <c r="H94" s="2">
        <f t="shared" si="52"/>
        <v>0</v>
      </c>
      <c r="I94" s="2"/>
      <c r="J94" s="1"/>
      <c r="K94" s="1"/>
      <c r="L94" s="83"/>
      <c r="M94" s="28"/>
      <c r="N94" s="72"/>
      <c r="O94" s="26"/>
      <c r="P94" s="83"/>
      <c r="Q94" s="17">
        <f t="shared" si="55"/>
        <v>0</v>
      </c>
      <c r="R94" s="1"/>
      <c r="S94" s="1"/>
      <c r="T94" s="1"/>
      <c r="U94" s="33"/>
      <c r="V94" s="33"/>
      <c r="W94" s="12"/>
      <c r="X94" s="12"/>
      <c r="Y94" s="12"/>
      <c r="Z94" s="12"/>
      <c r="AA94" s="12"/>
      <c r="AB94" s="12"/>
      <c r="AC94" s="12"/>
      <c r="AD94" s="12"/>
      <c r="AE94" s="12"/>
      <c r="AF94" s="12"/>
      <c r="AG94" s="12"/>
      <c r="AH94" s="12"/>
      <c r="AI94" s="15"/>
      <c r="AJ94" s="80"/>
      <c r="AK94" s="5"/>
      <c r="AL94" s="5"/>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row>
    <row r="95" spans="1:81" s="155" customFormat="1" ht="35.65" customHeight="1" x14ac:dyDescent="0.35">
      <c r="A95" s="180" t="s">
        <v>128</v>
      </c>
      <c r="B95" s="176" t="s">
        <v>270</v>
      </c>
      <c r="C95" s="32"/>
      <c r="D95" s="208"/>
      <c r="E95" s="31">
        <f t="shared" ref="E95:G95" si="56">E96</f>
        <v>0</v>
      </c>
      <c r="F95" s="31">
        <v>0</v>
      </c>
      <c r="G95" s="31">
        <f t="shared" si="56"/>
        <v>0</v>
      </c>
      <c r="H95" s="31">
        <f>H96</f>
        <v>0</v>
      </c>
      <c r="I95" s="147"/>
      <c r="J95" s="32"/>
      <c r="K95" s="148"/>
      <c r="L95" s="31">
        <f>L96</f>
        <v>0</v>
      </c>
      <c r="M95" s="122"/>
      <c r="N95" s="158"/>
      <c r="O95" s="88"/>
      <c r="P95" s="31">
        <f>P96</f>
        <v>0</v>
      </c>
      <c r="Q95" s="32"/>
      <c r="R95" s="149"/>
      <c r="S95" s="149"/>
      <c r="T95" s="149"/>
      <c r="U95" s="151"/>
      <c r="V95" s="151"/>
      <c r="W95" s="151"/>
      <c r="X95" s="151"/>
      <c r="Y95" s="151"/>
      <c r="Z95" s="151"/>
      <c r="AA95" s="151"/>
      <c r="AB95" s="151"/>
      <c r="AC95" s="151"/>
      <c r="AD95" s="151"/>
      <c r="AE95" s="151"/>
      <c r="AF95" s="151"/>
      <c r="AG95" s="151"/>
      <c r="AH95" s="151"/>
      <c r="AI95" s="152"/>
      <c r="AJ95" s="153"/>
      <c r="AK95" s="154">
        <f>AK96</f>
        <v>0</v>
      </c>
      <c r="AL95" s="154">
        <f t="shared" ref="AL95:AV95" si="57">AL96</f>
        <v>0</v>
      </c>
      <c r="AM95" s="154">
        <f t="shared" si="57"/>
        <v>0</v>
      </c>
      <c r="AN95" s="154">
        <f t="shared" si="57"/>
        <v>0</v>
      </c>
      <c r="AO95" s="154">
        <f t="shared" si="57"/>
        <v>0</v>
      </c>
      <c r="AP95" s="154">
        <f t="shared" si="57"/>
        <v>0</v>
      </c>
      <c r="AQ95" s="154">
        <f t="shared" si="57"/>
        <v>0</v>
      </c>
      <c r="AR95" s="154">
        <f t="shared" si="57"/>
        <v>0</v>
      </c>
      <c r="AS95" s="154">
        <f t="shared" si="57"/>
        <v>0</v>
      </c>
      <c r="AT95" s="154">
        <f t="shared" si="57"/>
        <v>0</v>
      </c>
      <c r="AU95" s="154">
        <f t="shared" si="57"/>
        <v>0</v>
      </c>
      <c r="AV95" s="154">
        <f t="shared" si="57"/>
        <v>0</v>
      </c>
    </row>
    <row r="96" spans="1:81" s="15" customFormat="1" x14ac:dyDescent="0.35">
      <c r="A96" s="11"/>
      <c r="B96" s="82"/>
      <c r="C96" s="1"/>
      <c r="D96" s="205"/>
      <c r="E96" s="1"/>
      <c r="F96" s="9"/>
      <c r="G96" s="9"/>
      <c r="H96" s="2"/>
      <c r="I96" s="2"/>
      <c r="J96" s="1"/>
      <c r="K96" s="1"/>
      <c r="L96" s="3"/>
      <c r="M96" s="28"/>
      <c r="N96" s="26"/>
      <c r="O96" s="26"/>
      <c r="P96" s="3"/>
      <c r="Q96" s="17"/>
      <c r="R96" s="1"/>
      <c r="S96" s="1"/>
      <c r="T96" s="1"/>
      <c r="U96" s="33"/>
      <c r="V96" s="33"/>
      <c r="W96" s="12"/>
      <c r="X96" s="12"/>
      <c r="Y96" s="12"/>
      <c r="Z96" s="12"/>
      <c r="AA96" s="12"/>
      <c r="AB96" s="12"/>
      <c r="AC96" s="12"/>
      <c r="AD96" s="12"/>
      <c r="AE96" s="12"/>
      <c r="AF96" s="12"/>
      <c r="AG96" s="12"/>
      <c r="AH96" s="12"/>
      <c r="AI96" s="13"/>
      <c r="AJ96" s="80"/>
      <c r="AK96" s="75"/>
      <c r="AL96" s="75"/>
      <c r="AM96" s="75"/>
      <c r="AN96" s="75"/>
      <c r="AO96" s="75"/>
      <c r="AP96" s="75"/>
      <c r="AQ96" s="75"/>
      <c r="AR96" s="75"/>
      <c r="AS96" s="75"/>
      <c r="AT96" s="75"/>
      <c r="AU96" s="75"/>
      <c r="AV96" s="75"/>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row>
    <row r="97" spans="1:81" s="155" customFormat="1" x14ac:dyDescent="0.35">
      <c r="A97" s="11"/>
      <c r="B97" s="82"/>
      <c r="C97" s="1"/>
      <c r="D97" s="205"/>
      <c r="E97" s="1"/>
      <c r="F97" s="9"/>
      <c r="G97" s="9"/>
      <c r="H97" s="2"/>
      <c r="I97" s="2"/>
      <c r="J97" s="177"/>
      <c r="K97" s="1"/>
      <c r="L97" s="3"/>
      <c r="M97" s="28"/>
      <c r="N97" s="72"/>
      <c r="O97" s="26"/>
      <c r="P97" s="3"/>
      <c r="Q97" s="17"/>
      <c r="R97" s="1"/>
      <c r="S97" s="1"/>
      <c r="T97" s="1"/>
      <c r="U97" s="33"/>
      <c r="V97" s="33"/>
      <c r="W97" s="12"/>
      <c r="X97" s="12"/>
      <c r="Y97" s="12"/>
      <c r="Z97" s="12"/>
      <c r="AA97" s="12"/>
      <c r="AB97" s="12"/>
      <c r="AC97" s="12"/>
      <c r="AD97" s="12"/>
      <c r="AE97" s="12"/>
      <c r="AF97" s="12"/>
      <c r="AG97" s="12"/>
      <c r="AH97" s="12"/>
      <c r="AI97" s="13"/>
      <c r="AJ97" s="80"/>
      <c r="AK97" s="5"/>
      <c r="AL97" s="5"/>
      <c r="AM97" s="5"/>
      <c r="AN97" s="5"/>
      <c r="AO97" s="5"/>
      <c r="AP97" s="5"/>
      <c r="AQ97" s="5"/>
      <c r="AR97" s="5"/>
      <c r="AS97" s="5"/>
      <c r="AT97" s="5"/>
      <c r="AU97" s="5"/>
      <c r="AV97" s="5"/>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row>
    <row r="98" spans="1:81" s="143" customFormat="1" ht="22.5" customHeight="1" x14ac:dyDescent="0.35">
      <c r="A98" s="135" t="s">
        <v>10</v>
      </c>
      <c r="B98" s="181" t="s">
        <v>135</v>
      </c>
      <c r="C98" s="137"/>
      <c r="D98" s="210"/>
      <c r="E98" s="30">
        <f>+E99+E102+E117</f>
        <v>61425490</v>
      </c>
      <c r="F98" s="30">
        <v>35625490</v>
      </c>
      <c r="G98" s="30">
        <f>+G99+G102+G117</f>
        <v>0</v>
      </c>
      <c r="H98" s="30">
        <f>+H99+H102+H117</f>
        <v>25800000</v>
      </c>
      <c r="I98" s="139"/>
      <c r="J98" s="30"/>
      <c r="K98" s="140"/>
      <c r="L98" s="30">
        <f>+L99+L102+L117</f>
        <v>222231880</v>
      </c>
      <c r="M98" s="122"/>
      <c r="N98" s="182"/>
      <c r="O98" s="183"/>
      <c r="P98" s="30">
        <f>+P99+P102+P117</f>
        <v>791821000</v>
      </c>
      <c r="Q98" s="30">
        <f>+Q99+Q102+Q117</f>
        <v>1014052880</v>
      </c>
      <c r="R98" s="138"/>
      <c r="S98" s="138"/>
      <c r="T98" s="138"/>
      <c r="U98" s="142"/>
      <c r="V98" s="142"/>
      <c r="W98" s="142"/>
      <c r="X98" s="142"/>
      <c r="Y98" s="142"/>
      <c r="Z98" s="142"/>
      <c r="AA98" s="142"/>
      <c r="AB98" s="142"/>
      <c r="AC98" s="142"/>
      <c r="AD98" s="142"/>
      <c r="AE98" s="142"/>
      <c r="AF98" s="142"/>
      <c r="AG98" s="142"/>
      <c r="AH98" s="142"/>
      <c r="AI98" s="13"/>
      <c r="AJ98" s="80"/>
      <c r="AK98" s="30">
        <f>+AK99+AK102+AK117</f>
        <v>16808000</v>
      </c>
      <c r="AL98" s="30">
        <f t="shared" ref="AL98:AV98" si="58">+AL99+AL102+AL117</f>
        <v>37875000</v>
      </c>
      <c r="AM98" s="30">
        <f t="shared" si="58"/>
        <v>99715000</v>
      </c>
      <c r="AN98" s="30">
        <f t="shared" si="58"/>
        <v>47157000</v>
      </c>
      <c r="AO98" s="30">
        <f t="shared" si="58"/>
        <v>59640000</v>
      </c>
      <c r="AP98" s="30">
        <f t="shared" si="58"/>
        <v>84390000</v>
      </c>
      <c r="AQ98" s="30">
        <f t="shared" si="58"/>
        <v>46515000</v>
      </c>
      <c r="AR98" s="30">
        <f t="shared" si="58"/>
        <v>4515000</v>
      </c>
      <c r="AS98" s="30">
        <f t="shared" si="58"/>
        <v>39890000</v>
      </c>
      <c r="AT98" s="30">
        <f t="shared" si="58"/>
        <v>13515000</v>
      </c>
      <c r="AU98" s="30">
        <f t="shared" si="58"/>
        <v>4515000</v>
      </c>
      <c r="AV98" s="30">
        <f t="shared" si="58"/>
        <v>4515000</v>
      </c>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row>
    <row r="99" spans="1:81" s="155" customFormat="1" ht="42" customHeight="1" x14ac:dyDescent="0.35">
      <c r="A99" s="144" t="s">
        <v>127</v>
      </c>
      <c r="B99" s="145" t="s">
        <v>436</v>
      </c>
      <c r="C99" s="32"/>
      <c r="D99" s="208"/>
      <c r="E99" s="31">
        <f>SUM(E100:E101)</f>
        <v>0</v>
      </c>
      <c r="F99" s="31">
        <f t="shared" ref="F99:H99" si="59">SUM(F100:F101)</f>
        <v>0</v>
      </c>
      <c r="G99" s="31">
        <f t="shared" si="59"/>
        <v>0</v>
      </c>
      <c r="H99" s="31">
        <f t="shared" si="59"/>
        <v>0</v>
      </c>
      <c r="I99" s="147"/>
      <c r="J99" s="32"/>
      <c r="K99" s="148"/>
      <c r="L99" s="31">
        <f>SUM(L100:L101)</f>
        <v>0</v>
      </c>
      <c r="M99" s="122"/>
      <c r="N99" s="158"/>
      <c r="O99" s="88"/>
      <c r="P99" s="31">
        <f t="shared" ref="P99:Q99" si="60">SUM(P100:P101)</f>
        <v>155250000</v>
      </c>
      <c r="Q99" s="31">
        <f t="shared" si="60"/>
        <v>155250000</v>
      </c>
      <c r="R99" s="184"/>
      <c r="S99" s="185"/>
      <c r="T99" s="185"/>
      <c r="U99" s="152"/>
      <c r="V99" s="152"/>
      <c r="W99" s="185"/>
      <c r="X99" s="185"/>
      <c r="Y99" s="185"/>
      <c r="Z99" s="185"/>
      <c r="AA99" s="185"/>
      <c r="AB99" s="185"/>
      <c r="AC99" s="185"/>
      <c r="AD99" s="185"/>
      <c r="AE99" s="185"/>
      <c r="AF99" s="185"/>
      <c r="AG99" s="185"/>
      <c r="AH99" s="185"/>
      <c r="AI99" s="152"/>
      <c r="AJ99" s="153"/>
      <c r="AK99" s="31">
        <f t="shared" ref="AK99:AV99" si="61">SUM(AK100:AK101)</f>
        <v>0</v>
      </c>
      <c r="AL99" s="31">
        <f t="shared" si="61"/>
        <v>0</v>
      </c>
      <c r="AM99" s="31">
        <f t="shared" si="61"/>
        <v>0</v>
      </c>
      <c r="AN99" s="31">
        <f t="shared" si="61"/>
        <v>9000000</v>
      </c>
      <c r="AO99" s="31">
        <f t="shared" si="61"/>
        <v>55125000</v>
      </c>
      <c r="AP99" s="31">
        <f t="shared" si="61"/>
        <v>18375000</v>
      </c>
      <c r="AQ99" s="31">
        <f t="shared" si="61"/>
        <v>27000000</v>
      </c>
      <c r="AR99" s="31">
        <f t="shared" si="61"/>
        <v>0</v>
      </c>
      <c r="AS99" s="31">
        <f t="shared" si="61"/>
        <v>18375000</v>
      </c>
      <c r="AT99" s="31">
        <f t="shared" si="61"/>
        <v>9000000</v>
      </c>
      <c r="AU99" s="31">
        <f t="shared" si="61"/>
        <v>0</v>
      </c>
      <c r="AV99" s="31">
        <f t="shared" si="61"/>
        <v>0</v>
      </c>
    </row>
    <row r="100" spans="1:81" s="364" customFormat="1" ht="32" x14ac:dyDescent="0.35">
      <c r="A100" s="353"/>
      <c r="B100" s="354" t="s">
        <v>437</v>
      </c>
      <c r="C100" s="355" t="s">
        <v>279</v>
      </c>
      <c r="D100" s="356" t="s">
        <v>14</v>
      </c>
      <c r="E100" s="355"/>
      <c r="F100" s="357">
        <v>0</v>
      </c>
      <c r="G100" s="357"/>
      <c r="H100" s="358">
        <f t="shared" ref="H100:H101" si="62">+E100-(F100+G100)</f>
        <v>0</v>
      </c>
      <c r="I100" s="358"/>
      <c r="J100" s="355"/>
      <c r="K100" s="355"/>
      <c r="L100" s="358">
        <f>+I100*K100*J100</f>
        <v>0</v>
      </c>
      <c r="M100" s="358">
        <v>45000000</v>
      </c>
      <c r="N100" s="355">
        <v>1</v>
      </c>
      <c r="O100" s="355">
        <v>1</v>
      </c>
      <c r="P100" s="358">
        <f>+M100*O100*N100</f>
        <v>45000000</v>
      </c>
      <c r="Q100" s="357">
        <f t="shared" ref="Q100:Q101" si="63">P100+L100</f>
        <v>45000000</v>
      </c>
      <c r="R100" s="355" t="s">
        <v>269</v>
      </c>
      <c r="S100" s="355" t="s">
        <v>17</v>
      </c>
      <c r="T100" s="355" t="s">
        <v>90</v>
      </c>
      <c r="U100" s="359">
        <v>45703</v>
      </c>
      <c r="V100" s="359">
        <f>U100+365</f>
        <v>46068</v>
      </c>
      <c r="W100" s="360"/>
      <c r="X100" s="360"/>
      <c r="Y100" s="360"/>
      <c r="Z100" s="360"/>
      <c r="AA100" s="360"/>
      <c r="AB100" s="360"/>
      <c r="AC100" s="360"/>
      <c r="AD100" s="360"/>
      <c r="AE100" s="360"/>
      <c r="AF100" s="360"/>
      <c r="AG100" s="360"/>
      <c r="AH100" s="360"/>
      <c r="AI100" s="361"/>
      <c r="AJ100" s="362" t="s">
        <v>152</v>
      </c>
      <c r="AK100" s="363"/>
      <c r="AL100" s="363"/>
      <c r="AM100" s="363"/>
      <c r="AN100" s="363">
        <f>+Q100*0.2</f>
        <v>9000000</v>
      </c>
      <c r="AO100" s="363"/>
      <c r="AP100" s="363"/>
      <c r="AQ100" s="363">
        <f>+Q100*0.6</f>
        <v>27000000</v>
      </c>
      <c r="AR100" s="363"/>
      <c r="AS100" s="363"/>
      <c r="AT100" s="363">
        <f>+AN100</f>
        <v>9000000</v>
      </c>
      <c r="AU100" s="363"/>
      <c r="AV100" s="363"/>
    </row>
    <row r="101" spans="1:81" s="364" customFormat="1" ht="48" x14ac:dyDescent="0.35">
      <c r="A101" s="353"/>
      <c r="B101" s="354" t="s">
        <v>454</v>
      </c>
      <c r="C101" s="355" t="s">
        <v>81</v>
      </c>
      <c r="D101" s="356" t="s">
        <v>18</v>
      </c>
      <c r="E101" s="355"/>
      <c r="F101" s="357">
        <v>0</v>
      </c>
      <c r="G101" s="357"/>
      <c r="H101" s="358">
        <f t="shared" si="62"/>
        <v>0</v>
      </c>
      <c r="I101" s="358"/>
      <c r="J101" s="365"/>
      <c r="K101" s="355"/>
      <c r="L101" s="358">
        <f>K101*J101*I101</f>
        <v>0</v>
      </c>
      <c r="M101" s="358">
        <v>75000</v>
      </c>
      <c r="N101" s="365">
        <f>30*7</f>
        <v>210</v>
      </c>
      <c r="O101" s="355">
        <v>7</v>
      </c>
      <c r="P101" s="358">
        <f>O101*N101*M101</f>
        <v>110250000</v>
      </c>
      <c r="Q101" s="357">
        <f t="shared" si="63"/>
        <v>110250000</v>
      </c>
      <c r="R101" s="355" t="s">
        <v>269</v>
      </c>
      <c r="S101" s="355"/>
      <c r="T101" s="355" t="s">
        <v>90</v>
      </c>
      <c r="U101" s="359">
        <f>U100</f>
        <v>45703</v>
      </c>
      <c r="V101" s="359">
        <f>+U101+15</f>
        <v>45718</v>
      </c>
      <c r="W101" s="360"/>
      <c r="X101" s="360"/>
      <c r="Y101" s="360"/>
      <c r="Z101" s="360"/>
      <c r="AA101" s="360"/>
      <c r="AB101" s="360"/>
      <c r="AC101" s="360"/>
      <c r="AD101" s="360"/>
      <c r="AE101" s="360"/>
      <c r="AF101" s="360"/>
      <c r="AG101" s="360"/>
      <c r="AH101" s="360"/>
      <c r="AI101" s="361"/>
      <c r="AJ101" s="362" t="s">
        <v>368</v>
      </c>
      <c r="AK101" s="363"/>
      <c r="AL101" s="363"/>
      <c r="AM101" s="363"/>
      <c r="AN101" s="363"/>
      <c r="AO101" s="363">
        <f>+AP101*3</f>
        <v>55125000</v>
      </c>
      <c r="AP101" s="363">
        <f>+Q101/6</f>
        <v>18375000</v>
      </c>
      <c r="AQ101" s="363"/>
      <c r="AR101" s="363"/>
      <c r="AS101" s="363">
        <f>+AP101</f>
        <v>18375000</v>
      </c>
      <c r="AT101" s="363"/>
      <c r="AU101" s="363"/>
      <c r="AV101" s="363"/>
    </row>
    <row r="102" spans="1:81" s="155" customFormat="1" ht="41.25" customHeight="1" x14ac:dyDescent="0.35">
      <c r="A102" s="144" t="s">
        <v>127</v>
      </c>
      <c r="B102" s="145" t="s">
        <v>40</v>
      </c>
      <c r="C102" s="32"/>
      <c r="D102" s="208"/>
      <c r="E102" s="31">
        <f>SUM(E103:E116)</f>
        <v>0</v>
      </c>
      <c r="F102" s="31">
        <f t="shared" ref="F102:H102" si="64">SUM(F103:F116)</f>
        <v>0</v>
      </c>
      <c r="G102" s="31">
        <f t="shared" si="64"/>
        <v>0</v>
      </c>
      <c r="H102" s="31">
        <f t="shared" si="64"/>
        <v>0</v>
      </c>
      <c r="I102" s="147"/>
      <c r="J102" s="32"/>
      <c r="K102" s="148"/>
      <c r="L102" s="31">
        <f>SUM(L103:L116)</f>
        <v>92946000</v>
      </c>
      <c r="M102" s="122"/>
      <c r="N102" s="158"/>
      <c r="O102" s="88"/>
      <c r="P102" s="31">
        <f>SUM(P103:P116)</f>
        <v>293702000</v>
      </c>
      <c r="Q102" s="31">
        <f t="shared" ref="Q102" si="65">SUM(Q103:Q116)</f>
        <v>386648000</v>
      </c>
      <c r="R102" s="149"/>
      <c r="S102" s="149"/>
      <c r="T102" s="149"/>
      <c r="U102" s="151"/>
      <c r="V102" s="151"/>
      <c r="W102" s="151"/>
      <c r="X102" s="151"/>
      <c r="Y102" s="151"/>
      <c r="Z102" s="151"/>
      <c r="AA102" s="151"/>
      <c r="AB102" s="151"/>
      <c r="AC102" s="151"/>
      <c r="AD102" s="151"/>
      <c r="AE102" s="151"/>
      <c r="AF102" s="151"/>
      <c r="AG102" s="151"/>
      <c r="AH102" s="151"/>
      <c r="AI102" s="152"/>
      <c r="AJ102" s="153"/>
      <c r="AK102" s="31">
        <f>SUM(AK103:AK116)</f>
        <v>12508000</v>
      </c>
      <c r="AL102" s="31">
        <f t="shared" ref="AL102:AV102" si="66">SUM(AL103:AL116)</f>
        <v>25500000</v>
      </c>
      <c r="AM102" s="31">
        <f t="shared" si="66"/>
        <v>39600000</v>
      </c>
      <c r="AN102" s="31">
        <f t="shared" si="66"/>
        <v>17492000</v>
      </c>
      <c r="AO102" s="31">
        <f t="shared" si="66"/>
        <v>0</v>
      </c>
      <c r="AP102" s="31">
        <f t="shared" si="66"/>
        <v>27000000</v>
      </c>
      <c r="AQ102" s="31">
        <f t="shared" si="66"/>
        <v>0</v>
      </c>
      <c r="AR102" s="31">
        <f t="shared" si="66"/>
        <v>0</v>
      </c>
      <c r="AS102" s="31">
        <f t="shared" si="66"/>
        <v>9000000</v>
      </c>
      <c r="AT102" s="31">
        <f t="shared" si="66"/>
        <v>0</v>
      </c>
      <c r="AU102" s="31">
        <f t="shared" si="66"/>
        <v>0</v>
      </c>
      <c r="AV102" s="31">
        <f t="shared" si="66"/>
        <v>0</v>
      </c>
    </row>
    <row r="103" spans="1:81" s="6" customFormat="1" ht="64" x14ac:dyDescent="0.35">
      <c r="A103" s="11"/>
      <c r="B103" s="36" t="s">
        <v>379</v>
      </c>
      <c r="C103" s="1" t="s">
        <v>279</v>
      </c>
      <c r="D103" s="205" t="s">
        <v>14</v>
      </c>
      <c r="E103" s="1"/>
      <c r="F103" s="9">
        <v>0</v>
      </c>
      <c r="G103" s="9"/>
      <c r="H103" s="2">
        <f t="shared" ref="H103:H104" si="67">+E103-(F103+G103)</f>
        <v>0</v>
      </c>
      <c r="I103" s="2">
        <v>31270000</v>
      </c>
      <c r="J103" s="1">
        <v>1</v>
      </c>
      <c r="K103" s="1">
        <v>1</v>
      </c>
      <c r="L103" s="3">
        <f>+I103*K103*J103</f>
        <v>31270000</v>
      </c>
      <c r="M103" s="28"/>
      <c r="N103" s="26"/>
      <c r="O103" s="26"/>
      <c r="P103" s="3">
        <f>+M103*O103*N103</f>
        <v>0</v>
      </c>
      <c r="Q103" s="17">
        <f>P103+L103</f>
        <v>31270000</v>
      </c>
      <c r="R103" s="1" t="s">
        <v>254</v>
      </c>
      <c r="S103" s="1" t="s">
        <v>17</v>
      </c>
      <c r="T103" s="1" t="s">
        <v>90</v>
      </c>
      <c r="U103" s="33">
        <v>45580</v>
      </c>
      <c r="V103" s="33">
        <f>U103+120</f>
        <v>45700</v>
      </c>
      <c r="W103" s="12"/>
      <c r="X103" s="12"/>
      <c r="Y103" s="12"/>
      <c r="Z103" s="12"/>
      <c r="AA103" s="12"/>
      <c r="AB103" s="12"/>
      <c r="AC103" s="12"/>
      <c r="AD103" s="12"/>
      <c r="AE103" s="12"/>
      <c r="AF103" s="12"/>
      <c r="AG103" s="12"/>
      <c r="AH103" s="12"/>
      <c r="AI103" s="13"/>
      <c r="AJ103" s="80" t="s">
        <v>197</v>
      </c>
      <c r="AK103" s="332">
        <v>12508000</v>
      </c>
      <c r="AL103" s="5"/>
      <c r="AM103" s="4"/>
      <c r="AN103" s="333">
        <f>30000000-AK103</f>
        <v>17492000</v>
      </c>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row>
    <row r="104" spans="1:81" ht="47.25" customHeight="1" x14ac:dyDescent="0.35">
      <c r="A104" s="78"/>
      <c r="B104" s="37" t="s">
        <v>94</v>
      </c>
      <c r="C104" s="26" t="s">
        <v>335</v>
      </c>
      <c r="D104" s="206" t="s">
        <v>30</v>
      </c>
      <c r="E104" s="26"/>
      <c r="F104" s="71">
        <v>0</v>
      </c>
      <c r="G104" s="71"/>
      <c r="H104" s="28">
        <f t="shared" si="67"/>
        <v>0</v>
      </c>
      <c r="I104" s="28">
        <v>85000</v>
      </c>
      <c r="J104" s="72">
        <f>30*4</f>
        <v>120</v>
      </c>
      <c r="K104" s="26">
        <v>1</v>
      </c>
      <c r="L104" s="3">
        <f>+I104*K104*J104</f>
        <v>10200000</v>
      </c>
      <c r="M104" s="28">
        <v>85000</v>
      </c>
      <c r="N104" s="72">
        <f>30*4</f>
        <v>120</v>
      </c>
      <c r="O104" s="26">
        <v>2</v>
      </c>
      <c r="P104" s="3">
        <f>+M104*O104*N104</f>
        <v>20400000</v>
      </c>
      <c r="Q104" s="17">
        <f>P104+L104</f>
        <v>30600000</v>
      </c>
      <c r="R104" s="26" t="s">
        <v>254</v>
      </c>
      <c r="S104" s="26" t="s">
        <v>17</v>
      </c>
      <c r="T104" s="26" t="s">
        <v>90</v>
      </c>
      <c r="U104" s="34">
        <f>+U103</f>
        <v>45580</v>
      </c>
      <c r="V104" s="34">
        <f>+V103</f>
        <v>45700</v>
      </c>
      <c r="W104" s="79"/>
      <c r="X104" s="79"/>
      <c r="Y104" s="79"/>
      <c r="Z104" s="79"/>
      <c r="AA104" s="79"/>
      <c r="AB104" s="79"/>
      <c r="AC104" s="79"/>
      <c r="AD104" s="79"/>
      <c r="AE104" s="79"/>
      <c r="AF104" s="79"/>
      <c r="AG104" s="79"/>
      <c r="AH104" s="79"/>
      <c r="AI104" s="13"/>
      <c r="AJ104" s="80" t="s">
        <v>148</v>
      </c>
      <c r="AM104" s="331">
        <f>+Q104</f>
        <v>30600000</v>
      </c>
    </row>
    <row r="105" spans="1:81" s="281" customFormat="1" ht="34.5" customHeight="1" x14ac:dyDescent="0.35">
      <c r="A105" s="283"/>
      <c r="B105" s="284" t="s">
        <v>208</v>
      </c>
      <c r="C105" s="274" t="s">
        <v>18</v>
      </c>
      <c r="D105" s="285" t="s">
        <v>19</v>
      </c>
      <c r="E105" s="274"/>
      <c r="F105" s="286"/>
      <c r="G105" s="286"/>
      <c r="H105" s="272"/>
      <c r="I105" s="272">
        <v>93000</v>
      </c>
      <c r="J105" s="274">
        <f>(23*2+10+4)*4</f>
        <v>240</v>
      </c>
      <c r="K105" s="274">
        <v>1</v>
      </c>
      <c r="L105" s="271">
        <f>+I105*K105*J105</f>
        <v>22320000</v>
      </c>
      <c r="M105" s="272"/>
      <c r="N105" s="274"/>
      <c r="O105" s="274"/>
      <c r="P105" s="271">
        <f>+M105*O105*N105</f>
        <v>0</v>
      </c>
      <c r="Q105" s="275">
        <f t="shared" ref="Q105:Q112" si="68">P105+L105</f>
        <v>22320000</v>
      </c>
      <c r="R105" s="274" t="s">
        <v>194</v>
      </c>
      <c r="S105" s="274"/>
      <c r="T105" s="274" t="s">
        <v>90</v>
      </c>
      <c r="U105" s="287">
        <v>45598</v>
      </c>
      <c r="V105" s="287">
        <f>U105+30</f>
        <v>45628</v>
      </c>
      <c r="W105" s="288"/>
      <c r="X105" s="288"/>
      <c r="Y105" s="288"/>
      <c r="Z105" s="288"/>
      <c r="AA105" s="288"/>
      <c r="AB105" s="288"/>
      <c r="AC105" s="288"/>
      <c r="AD105" s="288"/>
      <c r="AE105" s="288"/>
      <c r="AF105" s="288"/>
      <c r="AG105" s="288"/>
      <c r="AH105" s="288"/>
      <c r="AI105" s="278"/>
      <c r="AJ105" s="279"/>
      <c r="AK105" s="280"/>
      <c r="AL105" s="280"/>
    </row>
    <row r="106" spans="1:81" s="282" customFormat="1" ht="34.5" customHeight="1" x14ac:dyDescent="0.35">
      <c r="A106" s="289"/>
      <c r="B106" s="266" t="s">
        <v>294</v>
      </c>
      <c r="C106" s="267" t="s">
        <v>279</v>
      </c>
      <c r="D106" s="268" t="s">
        <v>196</v>
      </c>
      <c r="E106" s="267"/>
      <c r="F106" s="269"/>
      <c r="G106" s="269"/>
      <c r="H106" s="270"/>
      <c r="I106" s="270"/>
      <c r="J106" s="267"/>
      <c r="K106" s="267"/>
      <c r="L106" s="271">
        <f>+I106*K106*J106</f>
        <v>0</v>
      </c>
      <c r="M106" s="272">
        <v>350000</v>
      </c>
      <c r="N106" s="274">
        <v>60</v>
      </c>
      <c r="O106" s="274">
        <v>1</v>
      </c>
      <c r="P106" s="271">
        <f t="shared" ref="P106:P112" si="69">+M106*O106*N106</f>
        <v>21000000</v>
      </c>
      <c r="Q106" s="275">
        <f t="shared" si="68"/>
        <v>21000000</v>
      </c>
      <c r="R106" s="267" t="s">
        <v>195</v>
      </c>
      <c r="S106" s="267"/>
      <c r="T106" s="267" t="s">
        <v>90</v>
      </c>
      <c r="U106" s="276">
        <v>45667</v>
      </c>
      <c r="V106" s="276">
        <f>U106+90</f>
        <v>45757</v>
      </c>
      <c r="W106" s="277"/>
      <c r="X106" s="277"/>
      <c r="Y106" s="277"/>
      <c r="Z106" s="277"/>
      <c r="AA106" s="277"/>
      <c r="AB106" s="277"/>
      <c r="AC106" s="277"/>
      <c r="AD106" s="277"/>
      <c r="AE106" s="277"/>
      <c r="AF106" s="277"/>
      <c r="AG106" s="277"/>
      <c r="AH106" s="277"/>
      <c r="AI106" s="278"/>
      <c r="AJ106" s="279"/>
      <c r="AK106" s="280"/>
      <c r="AL106" s="280"/>
      <c r="AM106" s="281"/>
      <c r="AN106" s="281"/>
      <c r="AO106" s="281"/>
      <c r="AP106" s="281"/>
      <c r="AQ106" s="281"/>
      <c r="AR106" s="281"/>
      <c r="AS106" s="281"/>
      <c r="AT106" s="281"/>
      <c r="AU106" s="281"/>
      <c r="AV106" s="281"/>
      <c r="AW106" s="281"/>
      <c r="AX106" s="281"/>
      <c r="AY106" s="281"/>
      <c r="AZ106" s="281"/>
      <c r="BA106" s="281"/>
      <c r="BB106" s="281"/>
      <c r="BC106" s="281"/>
      <c r="BD106" s="281"/>
      <c r="BE106" s="281"/>
      <c r="BF106" s="281"/>
      <c r="BG106" s="281"/>
      <c r="BH106" s="281"/>
      <c r="BI106" s="281"/>
      <c r="BJ106" s="281"/>
      <c r="BK106" s="281"/>
      <c r="BL106" s="281"/>
      <c r="BM106" s="281"/>
      <c r="BN106" s="281"/>
      <c r="BO106" s="281"/>
      <c r="BP106" s="281"/>
      <c r="BQ106" s="281"/>
      <c r="BR106" s="281"/>
      <c r="BS106" s="281"/>
      <c r="BT106" s="281"/>
      <c r="BU106" s="281"/>
      <c r="BV106" s="281"/>
      <c r="BW106" s="281"/>
      <c r="BX106" s="281"/>
      <c r="BY106" s="281"/>
      <c r="BZ106" s="281"/>
      <c r="CA106" s="281"/>
      <c r="CB106" s="281"/>
      <c r="CC106" s="281"/>
    </row>
    <row r="107" spans="1:81" s="281" customFormat="1" ht="32" x14ac:dyDescent="0.35">
      <c r="A107" s="283"/>
      <c r="B107" s="284" t="s">
        <v>293</v>
      </c>
      <c r="C107" s="274" t="s">
        <v>18</v>
      </c>
      <c r="D107" s="285" t="s">
        <v>19</v>
      </c>
      <c r="E107" s="274"/>
      <c r="F107" s="286"/>
      <c r="G107" s="286"/>
      <c r="H107" s="272"/>
      <c r="I107" s="272"/>
      <c r="J107" s="274"/>
      <c r="K107" s="274"/>
      <c r="L107" s="271">
        <f t="shared" ref="L107:L112" si="70">+I107*K107*J107</f>
        <v>0</v>
      </c>
      <c r="M107" s="272">
        <v>85000</v>
      </c>
      <c r="N107" s="274">
        <f>30*7</f>
        <v>210</v>
      </c>
      <c r="O107" s="274">
        <v>1</v>
      </c>
      <c r="P107" s="271">
        <f t="shared" si="69"/>
        <v>17850000</v>
      </c>
      <c r="Q107" s="275">
        <f t="shared" si="68"/>
        <v>17850000</v>
      </c>
      <c r="R107" s="274" t="s">
        <v>195</v>
      </c>
      <c r="S107" s="274"/>
      <c r="T107" s="274" t="s">
        <v>90</v>
      </c>
      <c r="U107" s="287">
        <v>45690</v>
      </c>
      <c r="V107" s="287">
        <f>U107+30</f>
        <v>45720</v>
      </c>
      <c r="W107" s="288"/>
      <c r="X107" s="288"/>
      <c r="Y107" s="288"/>
      <c r="Z107" s="288"/>
      <c r="AA107" s="288"/>
      <c r="AB107" s="288"/>
      <c r="AC107" s="288"/>
      <c r="AD107" s="288"/>
      <c r="AE107" s="288"/>
      <c r="AF107" s="288"/>
      <c r="AG107" s="288"/>
      <c r="AH107" s="288"/>
      <c r="AI107" s="278"/>
      <c r="AJ107" s="279"/>
      <c r="AK107" s="280"/>
      <c r="AL107" s="280"/>
    </row>
    <row r="108" spans="1:81" s="282" customFormat="1" ht="34.5" customHeight="1" x14ac:dyDescent="0.35">
      <c r="A108" s="289"/>
      <c r="B108" s="266" t="s">
        <v>295</v>
      </c>
      <c r="C108" s="267" t="s">
        <v>279</v>
      </c>
      <c r="D108" s="268" t="s">
        <v>14</v>
      </c>
      <c r="E108" s="267"/>
      <c r="F108" s="269"/>
      <c r="G108" s="269"/>
      <c r="H108" s="270"/>
      <c r="I108" s="270"/>
      <c r="J108" s="267"/>
      <c r="K108" s="267"/>
      <c r="L108" s="271"/>
      <c r="M108" s="272">
        <v>50000000</v>
      </c>
      <c r="N108" s="274">
        <v>1</v>
      </c>
      <c r="O108" s="274">
        <v>1</v>
      </c>
      <c r="P108" s="271">
        <f t="shared" si="69"/>
        <v>50000000</v>
      </c>
      <c r="Q108" s="275">
        <f t="shared" si="68"/>
        <v>50000000</v>
      </c>
      <c r="R108" s="267" t="s">
        <v>195</v>
      </c>
      <c r="S108" s="267"/>
      <c r="T108" s="267" t="s">
        <v>90</v>
      </c>
      <c r="U108" s="276">
        <v>45690</v>
      </c>
      <c r="V108" s="276">
        <f>U108+30</f>
        <v>45720</v>
      </c>
      <c r="W108" s="277"/>
      <c r="X108" s="277"/>
      <c r="Y108" s="277"/>
      <c r="Z108" s="277"/>
      <c r="AA108" s="277"/>
      <c r="AB108" s="277"/>
      <c r="AC108" s="277"/>
      <c r="AD108" s="277"/>
      <c r="AE108" s="277"/>
      <c r="AF108" s="277"/>
      <c r="AG108" s="277"/>
      <c r="AH108" s="277"/>
      <c r="AI108" s="278"/>
      <c r="AJ108" s="279"/>
      <c r="AK108" s="280"/>
      <c r="AL108" s="280"/>
      <c r="AM108" s="281"/>
      <c r="AN108" s="281"/>
      <c r="AO108" s="281"/>
      <c r="AP108" s="281"/>
      <c r="AQ108" s="281"/>
      <c r="AR108" s="281"/>
      <c r="AS108" s="281"/>
      <c r="AT108" s="281"/>
      <c r="AU108" s="281"/>
      <c r="AV108" s="281"/>
      <c r="AW108" s="281"/>
      <c r="AX108" s="281"/>
      <c r="AY108" s="281"/>
      <c r="AZ108" s="281"/>
      <c r="BA108" s="281"/>
      <c r="BB108" s="281"/>
      <c r="BC108" s="281"/>
      <c r="BD108" s="281"/>
      <c r="BE108" s="281"/>
      <c r="BF108" s="281"/>
      <c r="BG108" s="281"/>
      <c r="BH108" s="281"/>
      <c r="BI108" s="281"/>
      <c r="BJ108" s="281"/>
      <c r="BK108" s="281"/>
      <c r="BL108" s="281"/>
      <c r="BM108" s="281"/>
      <c r="BN108" s="281"/>
      <c r="BO108" s="281"/>
      <c r="BP108" s="281"/>
      <c r="BQ108" s="281"/>
      <c r="BR108" s="281"/>
      <c r="BS108" s="281"/>
      <c r="BT108" s="281"/>
      <c r="BU108" s="281"/>
      <c r="BV108" s="281"/>
      <c r="BW108" s="281"/>
      <c r="BX108" s="281"/>
      <c r="BY108" s="281"/>
      <c r="BZ108" s="281"/>
      <c r="CA108" s="281"/>
      <c r="CB108" s="281"/>
      <c r="CC108" s="281"/>
    </row>
    <row r="109" spans="1:81" s="281" customFormat="1" ht="25" x14ac:dyDescent="0.35">
      <c r="A109" s="283"/>
      <c r="B109" s="284" t="s">
        <v>252</v>
      </c>
      <c r="C109" s="274" t="s">
        <v>18</v>
      </c>
      <c r="D109" s="285" t="s">
        <v>19</v>
      </c>
      <c r="E109" s="274"/>
      <c r="F109" s="286"/>
      <c r="G109" s="286"/>
      <c r="H109" s="272"/>
      <c r="I109" s="272"/>
      <c r="J109" s="274"/>
      <c r="K109" s="274"/>
      <c r="L109" s="271">
        <f t="shared" ref="L109" si="71">+I109*K109*J109</f>
        <v>0</v>
      </c>
      <c r="M109" s="272">
        <v>85000</v>
      </c>
      <c r="N109" s="274">
        <f>30*7</f>
        <v>210</v>
      </c>
      <c r="O109" s="274">
        <v>2</v>
      </c>
      <c r="P109" s="271">
        <f t="shared" si="69"/>
        <v>35700000</v>
      </c>
      <c r="Q109" s="275">
        <f t="shared" si="68"/>
        <v>35700000</v>
      </c>
      <c r="R109" s="274" t="s">
        <v>195</v>
      </c>
      <c r="S109" s="274"/>
      <c r="T109" s="274" t="s">
        <v>90</v>
      </c>
      <c r="U109" s="287">
        <v>45690</v>
      </c>
      <c r="V109" s="287">
        <f>U109+30</f>
        <v>45720</v>
      </c>
      <c r="W109" s="288"/>
      <c r="X109" s="288"/>
      <c r="Y109" s="288"/>
      <c r="Z109" s="288"/>
      <c r="AA109" s="288"/>
      <c r="AB109" s="288"/>
      <c r="AC109" s="288"/>
      <c r="AD109" s="288"/>
      <c r="AE109" s="288"/>
      <c r="AF109" s="288"/>
      <c r="AG109" s="288"/>
      <c r="AH109" s="288"/>
      <c r="AI109" s="278"/>
      <c r="AJ109" s="279"/>
      <c r="AK109" s="280"/>
      <c r="AL109" s="280"/>
    </row>
    <row r="110" spans="1:81" s="306" customFormat="1" ht="34.5" customHeight="1" x14ac:dyDescent="0.35">
      <c r="A110" s="293"/>
      <c r="B110" s="294" t="s">
        <v>296</v>
      </c>
      <c r="C110" s="295" t="s">
        <v>18</v>
      </c>
      <c r="D110" s="296" t="s">
        <v>19</v>
      </c>
      <c r="E110" s="295"/>
      <c r="F110" s="297"/>
      <c r="G110" s="297"/>
      <c r="H110" s="298"/>
      <c r="I110" s="298">
        <f>60000+25000+10000+2000+20000+5000+75000</f>
        <v>197000</v>
      </c>
      <c r="J110" s="295">
        <f>37*4</f>
        <v>148</v>
      </c>
      <c r="K110" s="295">
        <v>1</v>
      </c>
      <c r="L110" s="299">
        <f t="shared" si="70"/>
        <v>29156000</v>
      </c>
      <c r="M110" s="298"/>
      <c r="N110" s="295"/>
      <c r="O110" s="295"/>
      <c r="P110" s="299">
        <f t="shared" si="69"/>
        <v>0</v>
      </c>
      <c r="Q110" s="300">
        <f t="shared" si="68"/>
        <v>29156000</v>
      </c>
      <c r="R110" s="295" t="s">
        <v>266</v>
      </c>
      <c r="S110" s="295"/>
      <c r="T110" s="295" t="s">
        <v>241</v>
      </c>
      <c r="U110" s="301">
        <v>45586</v>
      </c>
      <c r="V110" s="301">
        <f>+U110+20</f>
        <v>45606</v>
      </c>
      <c r="W110" s="302"/>
      <c r="X110" s="302"/>
      <c r="Y110" s="302"/>
      <c r="Z110" s="302"/>
      <c r="AA110" s="302"/>
      <c r="AB110" s="302"/>
      <c r="AC110" s="302"/>
      <c r="AD110" s="302"/>
      <c r="AE110" s="302"/>
      <c r="AF110" s="302"/>
      <c r="AG110" s="302"/>
      <c r="AH110" s="302"/>
      <c r="AI110" s="303"/>
      <c r="AJ110" s="304"/>
      <c r="AK110" s="305"/>
      <c r="AL110" s="305"/>
    </row>
    <row r="111" spans="1:81" s="306" customFormat="1" ht="34.5" customHeight="1" x14ac:dyDescent="0.35">
      <c r="A111" s="293"/>
      <c r="B111" s="294" t="s">
        <v>380</v>
      </c>
      <c r="C111" s="295" t="s">
        <v>18</v>
      </c>
      <c r="D111" s="296" t="s">
        <v>19</v>
      </c>
      <c r="E111" s="295"/>
      <c r="F111" s="297"/>
      <c r="G111" s="297"/>
      <c r="H111" s="298"/>
      <c r="I111" s="298"/>
      <c r="J111" s="295"/>
      <c r="K111" s="295"/>
      <c r="L111" s="299">
        <f t="shared" si="70"/>
        <v>0</v>
      </c>
      <c r="M111" s="298">
        <f>+I110</f>
        <v>197000</v>
      </c>
      <c r="N111" s="295">
        <f>12*3</f>
        <v>36</v>
      </c>
      <c r="O111" s="295">
        <v>1</v>
      </c>
      <c r="P111" s="299">
        <f t="shared" si="69"/>
        <v>7092000</v>
      </c>
      <c r="Q111" s="300">
        <f t="shared" si="68"/>
        <v>7092000</v>
      </c>
      <c r="R111" s="295" t="s">
        <v>266</v>
      </c>
      <c r="S111" s="295"/>
      <c r="T111" s="295" t="s">
        <v>241</v>
      </c>
      <c r="U111" s="301">
        <v>45677</v>
      </c>
      <c r="V111" s="301">
        <f>+U111+15</f>
        <v>45692</v>
      </c>
      <c r="W111" s="302"/>
      <c r="X111" s="302"/>
      <c r="Y111" s="302"/>
      <c r="Z111" s="302"/>
      <c r="AA111" s="302"/>
      <c r="AB111" s="302"/>
      <c r="AC111" s="302"/>
      <c r="AD111" s="302"/>
      <c r="AE111" s="302"/>
      <c r="AF111" s="302"/>
      <c r="AG111" s="302"/>
      <c r="AH111" s="302"/>
      <c r="AI111" s="303"/>
      <c r="AJ111" s="304"/>
      <c r="AK111" s="305"/>
      <c r="AL111" s="305"/>
    </row>
    <row r="112" spans="1:81" ht="34.5" customHeight="1" x14ac:dyDescent="0.35">
      <c r="A112" s="78"/>
      <c r="B112" s="37" t="s">
        <v>438</v>
      </c>
      <c r="C112" s="26" t="s">
        <v>77</v>
      </c>
      <c r="D112" s="206" t="s">
        <v>242</v>
      </c>
      <c r="E112" s="26"/>
      <c r="F112" s="71"/>
      <c r="G112" s="71"/>
      <c r="H112" s="28"/>
      <c r="I112" s="28"/>
      <c r="J112" s="26"/>
      <c r="K112" s="26"/>
      <c r="L112" s="3">
        <f t="shared" si="70"/>
        <v>0</v>
      </c>
      <c r="M112" s="28">
        <f>450000+150000*14</f>
        <v>2550000</v>
      </c>
      <c r="N112" s="26">
        <v>10</v>
      </c>
      <c r="O112" s="26">
        <v>1</v>
      </c>
      <c r="P112" s="3">
        <f t="shared" si="69"/>
        <v>25500000</v>
      </c>
      <c r="Q112" s="17">
        <f t="shared" si="68"/>
        <v>25500000</v>
      </c>
      <c r="R112" s="26" t="s">
        <v>266</v>
      </c>
      <c r="S112" s="26"/>
      <c r="T112" s="26" t="s">
        <v>241</v>
      </c>
      <c r="U112" s="34">
        <v>45695</v>
      </c>
      <c r="V112" s="34">
        <f>+U112+20</f>
        <v>45715</v>
      </c>
      <c r="W112" s="79"/>
      <c r="X112" s="79"/>
      <c r="Y112" s="79"/>
      <c r="Z112" s="79"/>
      <c r="AA112" s="79"/>
      <c r="AB112" s="79"/>
      <c r="AC112" s="79"/>
      <c r="AD112" s="79"/>
      <c r="AE112" s="79"/>
      <c r="AF112" s="79"/>
      <c r="AG112" s="79"/>
      <c r="AH112" s="79"/>
      <c r="AI112" s="13"/>
      <c r="AJ112" s="80"/>
      <c r="AL112" s="330">
        <f>+P112</f>
        <v>25500000</v>
      </c>
    </row>
    <row r="113" spans="1:81" s="6" customFormat="1" ht="34.5" customHeight="1" x14ac:dyDescent="0.35">
      <c r="A113" s="11"/>
      <c r="B113" s="36" t="s">
        <v>381</v>
      </c>
      <c r="C113" s="1" t="s">
        <v>279</v>
      </c>
      <c r="D113" s="205" t="s">
        <v>14</v>
      </c>
      <c r="E113" s="1"/>
      <c r="F113" s="9"/>
      <c r="G113" s="9"/>
      <c r="H113" s="2">
        <f t="shared" ref="H113" si="72">+E113-(F113+G113)</f>
        <v>0</v>
      </c>
      <c r="I113" s="2"/>
      <c r="J113" s="1"/>
      <c r="K113" s="1"/>
      <c r="L113" s="3">
        <f>+I113*K113*J113</f>
        <v>0</v>
      </c>
      <c r="M113" s="28">
        <v>45000000</v>
      </c>
      <c r="N113" s="26">
        <v>1</v>
      </c>
      <c r="O113" s="26">
        <v>1</v>
      </c>
      <c r="P113" s="3">
        <f>+M113*O113*N113</f>
        <v>45000000</v>
      </c>
      <c r="Q113" s="17">
        <f t="shared" ref="Q113:Q114" si="73">P113+L113</f>
        <v>45000000</v>
      </c>
      <c r="R113" s="1" t="s">
        <v>193</v>
      </c>
      <c r="S113" s="1"/>
      <c r="T113" s="1" t="s">
        <v>90</v>
      </c>
      <c r="U113" s="33">
        <v>45698</v>
      </c>
      <c r="V113" s="33">
        <f>U113+90</f>
        <v>45788</v>
      </c>
      <c r="W113" s="12"/>
      <c r="X113" s="12"/>
      <c r="Y113" s="12"/>
      <c r="Z113" s="12"/>
      <c r="AA113" s="12"/>
      <c r="AB113" s="12"/>
      <c r="AC113" s="12"/>
      <c r="AD113" s="12"/>
      <c r="AE113" s="12"/>
      <c r="AF113" s="12"/>
      <c r="AG113" s="12"/>
      <c r="AH113" s="12"/>
      <c r="AI113" s="13"/>
      <c r="AJ113" s="80"/>
      <c r="AK113" s="5"/>
      <c r="AL113" s="5"/>
      <c r="AM113" s="4">
        <f>+P113*0.2</f>
        <v>9000000</v>
      </c>
      <c r="AN113" s="4"/>
      <c r="AO113" s="4"/>
      <c r="AP113" s="4">
        <f>+P113*0.6</f>
        <v>27000000</v>
      </c>
      <c r="AQ113" s="4"/>
      <c r="AR113" s="4"/>
      <c r="AS113" s="4">
        <f>+AM113</f>
        <v>9000000</v>
      </c>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row>
    <row r="114" spans="1:81" s="352" customFormat="1" ht="34.5" customHeight="1" x14ac:dyDescent="0.35">
      <c r="A114" s="341"/>
      <c r="B114" s="342" t="s">
        <v>453</v>
      </c>
      <c r="C114" s="343" t="s">
        <v>109</v>
      </c>
      <c r="D114" s="344" t="s">
        <v>333</v>
      </c>
      <c r="E114" s="343"/>
      <c r="F114" s="345"/>
      <c r="G114" s="345"/>
      <c r="H114" s="346"/>
      <c r="I114" s="346">
        <v>0</v>
      </c>
      <c r="J114" s="343">
        <v>1</v>
      </c>
      <c r="K114" s="343">
        <v>1</v>
      </c>
      <c r="L114" s="346">
        <f t="shared" ref="L114" si="74">+I114*K114*J114</f>
        <v>0</v>
      </c>
      <c r="M114" s="346">
        <v>60000000</v>
      </c>
      <c r="N114" s="343">
        <v>1</v>
      </c>
      <c r="O114" s="343">
        <v>1</v>
      </c>
      <c r="P114" s="346">
        <f t="shared" ref="P114" si="75">+M114*O114*N114</f>
        <v>60000000</v>
      </c>
      <c r="Q114" s="345">
        <f t="shared" si="73"/>
        <v>60000000</v>
      </c>
      <c r="R114" s="343" t="s">
        <v>261</v>
      </c>
      <c r="S114" s="343"/>
      <c r="T114" s="343" t="s">
        <v>241</v>
      </c>
      <c r="U114" s="347">
        <v>45698</v>
      </c>
      <c r="V114" s="347">
        <f>+U114+50</f>
        <v>45748</v>
      </c>
      <c r="W114" s="348"/>
      <c r="X114" s="348"/>
      <c r="Y114" s="348"/>
      <c r="Z114" s="348"/>
      <c r="AA114" s="348"/>
      <c r="AB114" s="348"/>
      <c r="AC114" s="348"/>
      <c r="AD114" s="348"/>
      <c r="AE114" s="348"/>
      <c r="AF114" s="348"/>
      <c r="AG114" s="348"/>
      <c r="AH114" s="348"/>
      <c r="AI114" s="349"/>
      <c r="AJ114" s="350"/>
      <c r="AK114" s="351"/>
      <c r="AL114" s="351"/>
    </row>
    <row r="115" spans="1:81" s="352" customFormat="1" ht="16" x14ac:dyDescent="0.35">
      <c r="A115" s="366"/>
      <c r="B115" s="342" t="s">
        <v>456</v>
      </c>
      <c r="C115" s="367"/>
      <c r="D115" s="367"/>
      <c r="E115" s="367"/>
      <c r="F115" s="368"/>
      <c r="G115" s="368"/>
      <c r="H115" s="369"/>
      <c r="I115" s="369"/>
      <c r="J115" s="367"/>
      <c r="K115" s="367"/>
      <c r="L115" s="369"/>
      <c r="M115" s="369">
        <v>93000</v>
      </c>
      <c r="N115" s="367">
        <f>30*4</f>
        <v>120</v>
      </c>
      <c r="O115" s="367">
        <v>1</v>
      </c>
      <c r="P115" s="346">
        <f>+M115*O115*N115</f>
        <v>11160000</v>
      </c>
      <c r="Q115" s="345">
        <f t="shared" ref="Q115" si="76">P115+L115</f>
        <v>11160000</v>
      </c>
      <c r="R115" s="343" t="s">
        <v>261</v>
      </c>
      <c r="S115" s="367"/>
      <c r="T115" s="343" t="s">
        <v>241</v>
      </c>
      <c r="U115" s="347">
        <v>45727</v>
      </c>
      <c r="V115" s="347">
        <f>+U115+20</f>
        <v>45747</v>
      </c>
      <c r="AJ115" s="370"/>
      <c r="AK115" s="351"/>
      <c r="AL115" s="351"/>
    </row>
    <row r="116" spans="1:81" s="155" customFormat="1" x14ac:dyDescent="0.35">
      <c r="A116" s="11"/>
      <c r="B116" s="82"/>
      <c r="C116" s="1"/>
      <c r="D116" s="205"/>
      <c r="E116" s="1"/>
      <c r="F116" s="9"/>
      <c r="G116" s="9"/>
      <c r="H116" s="2"/>
      <c r="I116" s="2"/>
      <c r="J116" s="1"/>
      <c r="K116" s="1"/>
      <c r="L116" s="3"/>
      <c r="M116" s="28"/>
      <c r="N116" s="26"/>
      <c r="O116" s="26"/>
      <c r="P116" s="3"/>
      <c r="Q116" s="17"/>
      <c r="R116" s="1"/>
      <c r="S116" s="1"/>
      <c r="T116" s="1"/>
      <c r="U116" s="33"/>
      <c r="V116" s="33"/>
      <c r="W116" s="12"/>
      <c r="X116" s="12"/>
      <c r="Y116" s="12"/>
      <c r="Z116" s="12"/>
      <c r="AA116" s="12"/>
      <c r="AB116" s="12"/>
      <c r="AC116" s="12"/>
      <c r="AD116" s="12"/>
      <c r="AE116" s="12"/>
      <c r="AF116" s="12"/>
      <c r="AG116" s="12"/>
      <c r="AH116" s="12"/>
      <c r="AI116" s="13"/>
      <c r="AJ116" s="80"/>
      <c r="AK116" s="5"/>
      <c r="AL116" s="5"/>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row>
    <row r="117" spans="1:81" s="155" customFormat="1" ht="17.5" x14ac:dyDescent="0.35">
      <c r="A117" s="144" t="s">
        <v>127</v>
      </c>
      <c r="B117" s="145" t="s">
        <v>41</v>
      </c>
      <c r="C117" s="32"/>
      <c r="D117" s="208"/>
      <c r="E117" s="31">
        <f>SUM(E118:E135)</f>
        <v>61425490</v>
      </c>
      <c r="F117" s="31">
        <f t="shared" ref="F117:H117" si="77">SUM(F118:F135)</f>
        <v>35625490</v>
      </c>
      <c r="G117" s="31">
        <f t="shared" si="77"/>
        <v>0</v>
      </c>
      <c r="H117" s="31">
        <f t="shared" si="77"/>
        <v>25800000</v>
      </c>
      <c r="I117" s="147"/>
      <c r="J117" s="32"/>
      <c r="K117" s="148"/>
      <c r="L117" s="31">
        <f>SUM(L118:L135)</f>
        <v>129285880</v>
      </c>
      <c r="M117" s="122"/>
      <c r="N117" s="158"/>
      <c r="O117" s="88"/>
      <c r="P117" s="31">
        <f>SUM(P118:P135)</f>
        <v>342869000</v>
      </c>
      <c r="Q117" s="31">
        <f t="shared" ref="Q117" si="78">SUM(Q118:Q135)</f>
        <v>472154880</v>
      </c>
      <c r="R117" s="149"/>
      <c r="S117" s="149"/>
      <c r="T117" s="149"/>
      <c r="U117" s="151"/>
      <c r="V117" s="151"/>
      <c r="W117" s="151"/>
      <c r="X117" s="151"/>
      <c r="Y117" s="151"/>
      <c r="Z117" s="151"/>
      <c r="AA117" s="151"/>
      <c r="AB117" s="151"/>
      <c r="AC117" s="151"/>
      <c r="AD117" s="151"/>
      <c r="AE117" s="151"/>
      <c r="AF117" s="151"/>
      <c r="AG117" s="151"/>
      <c r="AH117" s="151"/>
      <c r="AI117" s="152"/>
      <c r="AJ117" s="153"/>
      <c r="AK117" s="31">
        <f>SUM(AK118:AK135)</f>
        <v>4300000</v>
      </c>
      <c r="AL117" s="31">
        <f t="shared" ref="AL117:AW117" si="79">SUM(AL118:AL135)</f>
        <v>12375000</v>
      </c>
      <c r="AM117" s="31">
        <f t="shared" si="79"/>
        <v>60115000</v>
      </c>
      <c r="AN117" s="31">
        <f t="shared" si="79"/>
        <v>20665000</v>
      </c>
      <c r="AO117" s="31">
        <f t="shared" si="79"/>
        <v>4515000</v>
      </c>
      <c r="AP117" s="31">
        <f t="shared" si="79"/>
        <v>39015000</v>
      </c>
      <c r="AQ117" s="31">
        <f t="shared" si="79"/>
        <v>19515000</v>
      </c>
      <c r="AR117" s="31">
        <f t="shared" si="79"/>
        <v>4515000</v>
      </c>
      <c r="AS117" s="31">
        <f t="shared" si="79"/>
        <v>12515000</v>
      </c>
      <c r="AT117" s="31">
        <f t="shared" si="79"/>
        <v>4515000</v>
      </c>
      <c r="AU117" s="31">
        <f t="shared" si="79"/>
        <v>4515000</v>
      </c>
      <c r="AV117" s="31">
        <f t="shared" si="79"/>
        <v>4515000</v>
      </c>
      <c r="AW117" s="31">
        <f t="shared" si="79"/>
        <v>4515000</v>
      </c>
    </row>
    <row r="118" spans="1:81" s="6" customFormat="1" ht="25" x14ac:dyDescent="0.35">
      <c r="A118" s="11"/>
      <c r="B118" s="36" t="s">
        <v>92</v>
      </c>
      <c r="C118" s="1" t="s">
        <v>279</v>
      </c>
      <c r="D118" s="205" t="s">
        <v>24</v>
      </c>
      <c r="E118" s="2">
        <v>25800000</v>
      </c>
      <c r="F118" s="9">
        <v>12900000</v>
      </c>
      <c r="G118" s="9"/>
      <c r="H118" s="2">
        <f t="shared" ref="H118:H135" si="80">+E118-(F118+G118)</f>
        <v>12900000</v>
      </c>
      <c r="I118" s="2"/>
      <c r="J118" s="1"/>
      <c r="K118" s="1"/>
      <c r="L118" s="3">
        <f t="shared" ref="L118:L127" si="81">+I118*K118*J118</f>
        <v>0</v>
      </c>
      <c r="M118" s="28">
        <f>2150000*1.04</f>
        <v>2236000</v>
      </c>
      <c r="N118" s="26">
        <v>12</v>
      </c>
      <c r="O118" s="26">
        <v>1</v>
      </c>
      <c r="P118" s="3">
        <f t="shared" ref="P118:P135" si="82">+M118*O118*N118</f>
        <v>26832000</v>
      </c>
      <c r="Q118" s="17">
        <f t="shared" ref="Q118:Q135" si="83">P118+L118</f>
        <v>26832000</v>
      </c>
      <c r="R118" s="1" t="s">
        <v>42</v>
      </c>
      <c r="S118" s="1" t="s">
        <v>43</v>
      </c>
      <c r="T118" s="1"/>
      <c r="U118" s="33">
        <v>45717</v>
      </c>
      <c r="V118" s="33">
        <f>U118+365</f>
        <v>46082</v>
      </c>
      <c r="W118" s="12"/>
      <c r="X118" s="12"/>
      <c r="Y118" s="12"/>
      <c r="Z118" s="12"/>
      <c r="AA118" s="12"/>
      <c r="AB118" s="12"/>
      <c r="AC118" s="12"/>
      <c r="AD118" s="12"/>
      <c r="AE118" s="12"/>
      <c r="AF118" s="12"/>
      <c r="AG118" s="12"/>
      <c r="AH118" s="12"/>
      <c r="AI118" s="13"/>
      <c r="AJ118" s="80" t="s">
        <v>150</v>
      </c>
      <c r="AK118" s="5">
        <v>2150000</v>
      </c>
      <c r="AL118" s="5">
        <v>2150000</v>
      </c>
      <c r="AM118" s="4">
        <f>+AL118*1.05</f>
        <v>2257500</v>
      </c>
      <c r="AN118" s="4">
        <f>+AM118</f>
        <v>2257500</v>
      </c>
      <c r="AO118" s="4">
        <f t="shared" ref="AO118:AW118" si="84">+AN118</f>
        <v>2257500</v>
      </c>
      <c r="AP118" s="4">
        <f t="shared" si="84"/>
        <v>2257500</v>
      </c>
      <c r="AQ118" s="4">
        <f t="shared" si="84"/>
        <v>2257500</v>
      </c>
      <c r="AR118" s="4">
        <f t="shared" si="84"/>
        <v>2257500</v>
      </c>
      <c r="AS118" s="4">
        <f t="shared" si="84"/>
        <v>2257500</v>
      </c>
      <c r="AT118" s="4">
        <f t="shared" si="84"/>
        <v>2257500</v>
      </c>
      <c r="AU118" s="4">
        <f t="shared" si="84"/>
        <v>2257500</v>
      </c>
      <c r="AV118" s="4">
        <f t="shared" si="84"/>
        <v>2257500</v>
      </c>
      <c r="AW118" s="4">
        <f t="shared" si="84"/>
        <v>2257500</v>
      </c>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row>
    <row r="119" spans="1:81" s="6" customFormat="1" ht="25" x14ac:dyDescent="0.35">
      <c r="A119" s="11"/>
      <c r="B119" s="36" t="s">
        <v>93</v>
      </c>
      <c r="C119" s="1" t="s">
        <v>279</v>
      </c>
      <c r="D119" s="205" t="s">
        <v>24</v>
      </c>
      <c r="E119" s="2">
        <v>25800000</v>
      </c>
      <c r="F119" s="9">
        <v>12900000</v>
      </c>
      <c r="G119" s="9"/>
      <c r="H119" s="2">
        <f t="shared" si="80"/>
        <v>12900000</v>
      </c>
      <c r="I119" s="2"/>
      <c r="J119" s="1"/>
      <c r="K119" s="1"/>
      <c r="L119" s="3">
        <f t="shared" si="81"/>
        <v>0</v>
      </c>
      <c r="M119" s="28">
        <f>2150000*1.04</f>
        <v>2236000</v>
      </c>
      <c r="N119" s="26">
        <v>12</v>
      </c>
      <c r="O119" s="26">
        <v>1</v>
      </c>
      <c r="P119" s="3">
        <f t="shared" si="82"/>
        <v>26832000</v>
      </c>
      <c r="Q119" s="17">
        <f t="shared" si="83"/>
        <v>26832000</v>
      </c>
      <c r="R119" s="1" t="s">
        <v>42</v>
      </c>
      <c r="S119" s="1" t="s">
        <v>44</v>
      </c>
      <c r="T119" s="1"/>
      <c r="U119" s="33">
        <v>45717</v>
      </c>
      <c r="V119" s="33">
        <f>U119+365</f>
        <v>46082</v>
      </c>
      <c r="W119" s="12"/>
      <c r="X119" s="12"/>
      <c r="Y119" s="12"/>
      <c r="Z119" s="12"/>
      <c r="AA119" s="12"/>
      <c r="AB119" s="12"/>
      <c r="AC119" s="12"/>
      <c r="AD119" s="12"/>
      <c r="AE119" s="12"/>
      <c r="AF119" s="12"/>
      <c r="AG119" s="12"/>
      <c r="AH119" s="12"/>
      <c r="AI119" s="13"/>
      <c r="AJ119" s="80" t="s">
        <v>150</v>
      </c>
      <c r="AK119" s="5">
        <v>2150000</v>
      </c>
      <c r="AL119" s="5">
        <v>2150000</v>
      </c>
      <c r="AM119" s="4">
        <f>+AL119*1.05</f>
        <v>2257500</v>
      </c>
      <c r="AN119" s="4">
        <f>+AM119</f>
        <v>2257500</v>
      </c>
      <c r="AO119" s="4">
        <f t="shared" ref="AO119:AW119" si="85">+AN119</f>
        <v>2257500</v>
      </c>
      <c r="AP119" s="4">
        <f t="shared" si="85"/>
        <v>2257500</v>
      </c>
      <c r="AQ119" s="4">
        <f t="shared" si="85"/>
        <v>2257500</v>
      </c>
      <c r="AR119" s="4">
        <f t="shared" si="85"/>
        <v>2257500</v>
      </c>
      <c r="AS119" s="4">
        <f t="shared" si="85"/>
        <v>2257500</v>
      </c>
      <c r="AT119" s="4">
        <f t="shared" si="85"/>
        <v>2257500</v>
      </c>
      <c r="AU119" s="4">
        <f t="shared" si="85"/>
        <v>2257500</v>
      </c>
      <c r="AV119" s="4">
        <f t="shared" si="85"/>
        <v>2257500</v>
      </c>
      <c r="AW119" s="4">
        <f t="shared" si="85"/>
        <v>2257500</v>
      </c>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row>
    <row r="120" spans="1:81" s="6" customFormat="1" ht="32" x14ac:dyDescent="0.35">
      <c r="A120" s="11"/>
      <c r="B120" s="36" t="s">
        <v>382</v>
      </c>
      <c r="C120" s="1" t="s">
        <v>279</v>
      </c>
      <c r="D120" s="205" t="s">
        <v>48</v>
      </c>
      <c r="E120" s="2">
        <f>1620000+340000</f>
        <v>1960000</v>
      </c>
      <c r="F120" s="9">
        <v>1960000</v>
      </c>
      <c r="G120" s="9"/>
      <c r="H120" s="2">
        <f t="shared" si="80"/>
        <v>0</v>
      </c>
      <c r="I120" s="2">
        <v>25000000</v>
      </c>
      <c r="J120" s="1">
        <v>1</v>
      </c>
      <c r="K120" s="1">
        <v>1</v>
      </c>
      <c r="L120" s="3">
        <f t="shared" si="81"/>
        <v>25000000</v>
      </c>
      <c r="M120" s="28">
        <v>25000000</v>
      </c>
      <c r="N120" s="26">
        <v>1</v>
      </c>
      <c r="O120" s="26">
        <v>1</v>
      </c>
      <c r="P120" s="3">
        <f t="shared" si="82"/>
        <v>25000000</v>
      </c>
      <c r="Q120" s="17">
        <f t="shared" si="83"/>
        <v>50000000</v>
      </c>
      <c r="R120" s="1" t="s">
        <v>42</v>
      </c>
      <c r="S120" s="1" t="s">
        <v>17</v>
      </c>
      <c r="T120" s="1" t="s">
        <v>75</v>
      </c>
      <c r="U120" s="33">
        <v>45607</v>
      </c>
      <c r="V120" s="33">
        <v>46022</v>
      </c>
      <c r="W120" s="12"/>
      <c r="X120" s="12"/>
      <c r="Y120" s="12"/>
      <c r="Z120" s="12"/>
      <c r="AA120" s="12"/>
      <c r="AB120" s="12"/>
      <c r="AC120" s="12"/>
      <c r="AD120" s="12"/>
      <c r="AE120" s="12"/>
      <c r="AF120" s="12"/>
      <c r="AG120" s="12"/>
      <c r="AH120" s="12"/>
      <c r="AI120" s="13"/>
      <c r="AJ120" s="80" t="s">
        <v>150</v>
      </c>
      <c r="AK120" s="5"/>
      <c r="AL120" s="5"/>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row>
    <row r="121" spans="1:81" s="6" customFormat="1" ht="25" x14ac:dyDescent="0.35">
      <c r="A121" s="11"/>
      <c r="B121" s="36" t="s">
        <v>209</v>
      </c>
      <c r="C121" s="1"/>
      <c r="D121" s="205" t="s">
        <v>108</v>
      </c>
      <c r="E121" s="1"/>
      <c r="F121" s="9">
        <v>0</v>
      </c>
      <c r="G121" s="9"/>
      <c r="H121" s="2">
        <f t="shared" si="80"/>
        <v>0</v>
      </c>
      <c r="I121" s="2"/>
      <c r="J121" s="1"/>
      <c r="K121" s="1"/>
      <c r="L121" s="3">
        <f t="shared" si="81"/>
        <v>0</v>
      </c>
      <c r="M121" s="28">
        <v>4000000</v>
      </c>
      <c r="N121" s="26">
        <v>2</v>
      </c>
      <c r="O121" s="26">
        <v>1</v>
      </c>
      <c r="P121" s="3">
        <f t="shared" si="82"/>
        <v>8000000</v>
      </c>
      <c r="Q121" s="17">
        <f t="shared" si="83"/>
        <v>8000000</v>
      </c>
      <c r="R121" s="1" t="s">
        <v>42</v>
      </c>
      <c r="S121" s="1"/>
      <c r="T121" s="1" t="s">
        <v>75</v>
      </c>
      <c r="U121" s="33">
        <v>45658</v>
      </c>
      <c r="V121" s="33">
        <f>+U121+90</f>
        <v>45748</v>
      </c>
      <c r="W121" s="12"/>
      <c r="X121" s="12"/>
      <c r="Y121" s="12"/>
      <c r="Z121" s="12"/>
      <c r="AA121" s="12"/>
      <c r="AB121" s="12"/>
      <c r="AC121" s="12"/>
      <c r="AD121" s="12"/>
      <c r="AE121" s="12"/>
      <c r="AF121" s="12"/>
      <c r="AG121" s="12"/>
      <c r="AH121" s="12"/>
      <c r="AI121" s="13"/>
      <c r="AJ121" s="80" t="s">
        <v>148</v>
      </c>
      <c r="AK121" s="5"/>
      <c r="AL121" s="5"/>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row>
    <row r="122" spans="1:81" s="6" customFormat="1" ht="48" x14ac:dyDescent="0.35">
      <c r="A122" s="11"/>
      <c r="B122" s="36" t="s">
        <v>210</v>
      </c>
      <c r="C122" s="1"/>
      <c r="D122" s="205" t="s">
        <v>110</v>
      </c>
      <c r="E122" s="1"/>
      <c r="F122" s="9">
        <v>0</v>
      </c>
      <c r="G122" s="9"/>
      <c r="H122" s="2">
        <f t="shared" si="80"/>
        <v>0</v>
      </c>
      <c r="I122" s="2"/>
      <c r="J122" s="1"/>
      <c r="K122" s="1"/>
      <c r="L122" s="3">
        <f t="shared" si="81"/>
        <v>0</v>
      </c>
      <c r="M122" s="28">
        <v>15000000</v>
      </c>
      <c r="N122" s="26">
        <v>2</v>
      </c>
      <c r="O122" s="26">
        <v>1</v>
      </c>
      <c r="P122" s="3">
        <f t="shared" si="82"/>
        <v>30000000</v>
      </c>
      <c r="Q122" s="17">
        <f t="shared" si="83"/>
        <v>30000000</v>
      </c>
      <c r="R122" s="1" t="s">
        <v>42</v>
      </c>
      <c r="S122" s="1"/>
      <c r="T122" s="1" t="s">
        <v>75</v>
      </c>
      <c r="U122" s="33">
        <v>45690</v>
      </c>
      <c r="V122" s="33">
        <f>+U122+365</f>
        <v>46055</v>
      </c>
      <c r="W122" s="12"/>
      <c r="X122" s="12"/>
      <c r="Y122" s="12"/>
      <c r="Z122" s="12"/>
      <c r="AA122" s="12"/>
      <c r="AB122" s="12"/>
      <c r="AC122" s="12"/>
      <c r="AD122" s="12"/>
      <c r="AE122" s="12"/>
      <c r="AF122" s="12"/>
      <c r="AG122" s="12"/>
      <c r="AH122" s="12"/>
      <c r="AI122" s="13"/>
      <c r="AJ122" s="80" t="s">
        <v>148</v>
      </c>
      <c r="AK122" s="5"/>
      <c r="AL122" s="5"/>
      <c r="AM122" s="4"/>
      <c r="AN122" s="4"/>
      <c r="AO122" s="4"/>
      <c r="AP122" s="4"/>
      <c r="AQ122" s="331">
        <f>+M122</f>
        <v>15000000</v>
      </c>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row>
    <row r="123" spans="1:81" s="312" customFormat="1" ht="64" x14ac:dyDescent="0.35">
      <c r="A123" s="327"/>
      <c r="B123" s="314" t="s">
        <v>383</v>
      </c>
      <c r="C123" s="317"/>
      <c r="D123" s="316" t="s">
        <v>46</v>
      </c>
      <c r="E123" s="317"/>
      <c r="F123" s="309">
        <v>0</v>
      </c>
      <c r="G123" s="309"/>
      <c r="H123" s="310">
        <f t="shared" si="80"/>
        <v>0</v>
      </c>
      <c r="I123" s="310">
        <f>14499840+3709920+276120+600000</f>
        <v>19085880</v>
      </c>
      <c r="J123" s="317">
        <v>1</v>
      </c>
      <c r="K123" s="317">
        <v>1</v>
      </c>
      <c r="L123" s="299">
        <f t="shared" si="81"/>
        <v>19085880</v>
      </c>
      <c r="M123" s="298"/>
      <c r="N123" s="295"/>
      <c r="O123" s="295"/>
      <c r="P123" s="299">
        <f t="shared" si="82"/>
        <v>0</v>
      </c>
      <c r="Q123" s="300">
        <f t="shared" si="83"/>
        <v>19085880</v>
      </c>
      <c r="R123" s="317" t="s">
        <v>42</v>
      </c>
      <c r="S123" s="317"/>
      <c r="T123" s="317" t="s">
        <v>75</v>
      </c>
      <c r="U123" s="318">
        <v>45505</v>
      </c>
      <c r="V123" s="318">
        <v>45657</v>
      </c>
      <c r="W123" s="319"/>
      <c r="X123" s="319"/>
      <c r="Y123" s="319"/>
      <c r="Z123" s="319"/>
      <c r="AA123" s="319"/>
      <c r="AB123" s="319"/>
      <c r="AC123" s="319"/>
      <c r="AD123" s="319"/>
      <c r="AE123" s="319"/>
      <c r="AF123" s="319"/>
      <c r="AG123" s="319"/>
      <c r="AH123" s="319"/>
      <c r="AI123" s="303"/>
      <c r="AJ123" s="304" t="s">
        <v>384</v>
      </c>
      <c r="AK123" s="305"/>
      <c r="AL123" s="305"/>
      <c r="AM123" s="306"/>
      <c r="AN123" s="306"/>
      <c r="AO123" s="306"/>
      <c r="AP123" s="306"/>
      <c r="AQ123" s="306"/>
      <c r="AR123" s="306"/>
      <c r="AS123" s="306"/>
      <c r="AT123" s="306"/>
      <c r="AU123" s="306"/>
      <c r="AV123" s="306"/>
      <c r="AW123" s="306"/>
      <c r="AX123" s="306"/>
      <c r="AY123" s="306"/>
      <c r="AZ123" s="306"/>
      <c r="BA123" s="306"/>
      <c r="BB123" s="306"/>
      <c r="BC123" s="306"/>
      <c r="BD123" s="306"/>
      <c r="BE123" s="306"/>
      <c r="BF123" s="306"/>
      <c r="BG123" s="306"/>
      <c r="BH123" s="306"/>
      <c r="BI123" s="306"/>
      <c r="BJ123" s="306"/>
      <c r="BK123" s="306"/>
      <c r="BL123" s="306"/>
      <c r="BM123" s="306"/>
      <c r="BN123" s="306"/>
      <c r="BO123" s="306"/>
      <c r="BP123" s="306"/>
      <c r="BQ123" s="306"/>
      <c r="BR123" s="306"/>
      <c r="BS123" s="306"/>
      <c r="BT123" s="306"/>
      <c r="BU123" s="306"/>
      <c r="BV123" s="306"/>
      <c r="BW123" s="306"/>
      <c r="BX123" s="306"/>
      <c r="BY123" s="306"/>
      <c r="BZ123" s="306"/>
      <c r="CA123" s="306"/>
      <c r="CB123" s="306"/>
      <c r="CC123" s="306"/>
    </row>
    <row r="124" spans="1:81" s="6" customFormat="1" ht="25" x14ac:dyDescent="0.35">
      <c r="A124" s="11"/>
      <c r="B124" s="36" t="s">
        <v>385</v>
      </c>
      <c r="C124" s="1"/>
      <c r="D124" s="205" t="s">
        <v>46</v>
      </c>
      <c r="E124" s="1"/>
      <c r="F124" s="9">
        <v>0</v>
      </c>
      <c r="G124" s="9"/>
      <c r="H124" s="2">
        <f t="shared" si="80"/>
        <v>0</v>
      </c>
      <c r="I124" s="2">
        <v>4000000</v>
      </c>
      <c r="J124" s="1">
        <v>1</v>
      </c>
      <c r="K124" s="1">
        <v>1</v>
      </c>
      <c r="L124" s="3">
        <f t="shared" si="81"/>
        <v>4000000</v>
      </c>
      <c r="M124" s="28"/>
      <c r="N124" s="26"/>
      <c r="O124" s="26"/>
      <c r="P124" s="3">
        <f t="shared" si="82"/>
        <v>0</v>
      </c>
      <c r="Q124" s="17">
        <f t="shared" si="83"/>
        <v>4000000</v>
      </c>
      <c r="R124" s="1" t="s">
        <v>42</v>
      </c>
      <c r="S124" s="1"/>
      <c r="T124" s="1" t="s">
        <v>75</v>
      </c>
      <c r="U124" s="33">
        <v>45585</v>
      </c>
      <c r="V124" s="33">
        <f>+U124+20</f>
        <v>45605</v>
      </c>
      <c r="W124" s="12"/>
      <c r="X124" s="12"/>
      <c r="Y124" s="12"/>
      <c r="Z124" s="12"/>
      <c r="AA124" s="12"/>
      <c r="AB124" s="12"/>
      <c r="AC124" s="12"/>
      <c r="AD124" s="12"/>
      <c r="AE124" s="12"/>
      <c r="AF124" s="12"/>
      <c r="AG124" s="12"/>
      <c r="AH124" s="12"/>
      <c r="AI124" s="13"/>
      <c r="AJ124" s="80"/>
      <c r="AK124" s="5"/>
      <c r="AL124" s="5"/>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row>
    <row r="125" spans="1:81" s="6" customFormat="1" ht="32" x14ac:dyDescent="0.35">
      <c r="A125" s="11"/>
      <c r="B125" s="36" t="s">
        <v>302</v>
      </c>
      <c r="C125" s="1"/>
      <c r="D125" s="205" t="s">
        <v>111</v>
      </c>
      <c r="E125" s="1"/>
      <c r="F125" s="9">
        <v>0</v>
      </c>
      <c r="G125" s="9"/>
      <c r="H125" s="2">
        <f t="shared" si="80"/>
        <v>0</v>
      </c>
      <c r="I125" s="2"/>
      <c r="J125" s="1"/>
      <c r="K125" s="1"/>
      <c r="L125" s="3">
        <f t="shared" si="81"/>
        <v>0</v>
      </c>
      <c r="M125" s="28">
        <v>81000</v>
      </c>
      <c r="N125" s="26">
        <v>40</v>
      </c>
      <c r="O125" s="26">
        <v>2</v>
      </c>
      <c r="P125" s="3">
        <f t="shared" si="82"/>
        <v>6480000</v>
      </c>
      <c r="Q125" s="17">
        <f t="shared" si="83"/>
        <v>6480000</v>
      </c>
      <c r="R125" s="1" t="s">
        <v>42</v>
      </c>
      <c r="S125" s="1"/>
      <c r="T125" s="1" t="s">
        <v>75</v>
      </c>
      <c r="U125" s="33">
        <v>45659</v>
      </c>
      <c r="V125" s="33">
        <f>+U125+363</f>
        <v>46022</v>
      </c>
      <c r="W125" s="12"/>
      <c r="X125" s="12"/>
      <c r="Y125" s="12"/>
      <c r="Z125" s="12"/>
      <c r="AA125" s="12"/>
      <c r="AB125" s="12"/>
      <c r="AC125" s="12"/>
      <c r="AD125" s="12"/>
      <c r="AE125" s="12"/>
      <c r="AF125" s="12"/>
      <c r="AG125" s="12"/>
      <c r="AH125" s="12"/>
      <c r="AI125" s="13"/>
      <c r="AJ125" s="80"/>
      <c r="AK125" s="5"/>
      <c r="AL125" s="5"/>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row>
    <row r="126" spans="1:81" s="6" customFormat="1" ht="31.5" customHeight="1" x14ac:dyDescent="0.35">
      <c r="A126" s="11"/>
      <c r="B126" s="36" t="s">
        <v>386</v>
      </c>
      <c r="C126" s="1"/>
      <c r="D126" s="205" t="s">
        <v>2</v>
      </c>
      <c r="E126" s="1"/>
      <c r="F126" s="9">
        <v>0</v>
      </c>
      <c r="G126" s="9"/>
      <c r="H126" s="2">
        <f t="shared" si="80"/>
        <v>0</v>
      </c>
      <c r="I126" s="2">
        <f>142800000/3</f>
        <v>47600000</v>
      </c>
      <c r="J126" s="1">
        <v>1</v>
      </c>
      <c r="K126" s="1">
        <v>1</v>
      </c>
      <c r="L126" s="3">
        <f t="shared" si="81"/>
        <v>47600000</v>
      </c>
      <c r="M126" s="28"/>
      <c r="N126" s="26"/>
      <c r="O126" s="26"/>
      <c r="P126" s="3">
        <f t="shared" si="82"/>
        <v>0</v>
      </c>
      <c r="Q126" s="17">
        <f t="shared" si="83"/>
        <v>47600000</v>
      </c>
      <c r="R126" s="1" t="s">
        <v>42</v>
      </c>
      <c r="S126" s="1"/>
      <c r="T126" s="1" t="s">
        <v>75</v>
      </c>
      <c r="U126" s="33">
        <v>45444</v>
      </c>
      <c r="V126" s="33">
        <v>45657</v>
      </c>
      <c r="W126" s="12"/>
      <c r="X126" s="12"/>
      <c r="Y126" s="12"/>
      <c r="Z126" s="12"/>
      <c r="AA126" s="12"/>
      <c r="AB126" s="12"/>
      <c r="AC126" s="12"/>
      <c r="AD126" s="12"/>
      <c r="AE126" s="12"/>
      <c r="AF126" s="12"/>
      <c r="AG126" s="12"/>
      <c r="AH126" s="12"/>
      <c r="AI126" s="13"/>
      <c r="AJ126" s="80" t="s">
        <v>198</v>
      </c>
      <c r="AK126" s="5"/>
      <c r="AL126" s="5"/>
      <c r="AM126" s="331">
        <f>+Q126</f>
        <v>47600000</v>
      </c>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row>
    <row r="127" spans="1:81" ht="31.9" customHeight="1" x14ac:dyDescent="0.35">
      <c r="A127" s="78"/>
      <c r="B127" s="37" t="s">
        <v>297</v>
      </c>
      <c r="C127" s="26"/>
      <c r="D127" s="206" t="s">
        <v>47</v>
      </c>
      <c r="E127" s="26">
        <v>7865490</v>
      </c>
      <c r="F127" s="71">
        <v>7865490</v>
      </c>
      <c r="G127" s="71"/>
      <c r="H127" s="28">
        <f t="shared" si="80"/>
        <v>0</v>
      </c>
      <c r="I127" s="28"/>
      <c r="J127" s="26"/>
      <c r="K127" s="26"/>
      <c r="L127" s="3">
        <f t="shared" si="81"/>
        <v>0</v>
      </c>
      <c r="M127" s="28">
        <v>70000</v>
      </c>
      <c r="N127" s="26">
        <v>150</v>
      </c>
      <c r="O127" s="26">
        <v>1</v>
      </c>
      <c r="P127" s="3">
        <f t="shared" si="82"/>
        <v>10500000</v>
      </c>
      <c r="Q127" s="17">
        <f t="shared" si="83"/>
        <v>10500000</v>
      </c>
      <c r="R127" s="26" t="s">
        <v>42</v>
      </c>
      <c r="S127" s="26"/>
      <c r="T127" s="26" t="s">
        <v>75</v>
      </c>
      <c r="U127" s="34">
        <v>45748</v>
      </c>
      <c r="V127" s="34">
        <f>+U127+60</f>
        <v>45808</v>
      </c>
      <c r="W127" s="79"/>
      <c r="X127" s="79"/>
      <c r="Y127" s="79"/>
      <c r="Z127" s="79"/>
      <c r="AA127" s="79"/>
      <c r="AB127" s="79"/>
      <c r="AC127" s="79"/>
      <c r="AD127" s="79"/>
      <c r="AE127" s="79"/>
      <c r="AF127" s="79"/>
      <c r="AG127" s="79"/>
      <c r="AH127" s="79"/>
      <c r="AI127" s="13"/>
      <c r="AJ127" s="80"/>
      <c r="AP127" s="331">
        <f>+Q127</f>
        <v>10500000</v>
      </c>
    </row>
    <row r="128" spans="1:81" s="6" customFormat="1" ht="32" x14ac:dyDescent="0.35">
      <c r="A128" s="11"/>
      <c r="B128" s="36" t="s">
        <v>298</v>
      </c>
      <c r="C128" s="1" t="s">
        <v>279</v>
      </c>
      <c r="D128" s="205" t="s">
        <v>109</v>
      </c>
      <c r="E128" s="1"/>
      <c r="F128" s="9"/>
      <c r="G128" s="9"/>
      <c r="H128" s="2"/>
      <c r="I128" s="2"/>
      <c r="J128" s="1"/>
      <c r="K128" s="1"/>
      <c r="L128" s="3"/>
      <c r="M128" s="28">
        <v>40000000</v>
      </c>
      <c r="N128" s="26">
        <v>1</v>
      </c>
      <c r="O128" s="26">
        <v>1</v>
      </c>
      <c r="P128" s="3">
        <f t="shared" si="82"/>
        <v>40000000</v>
      </c>
      <c r="Q128" s="17">
        <f t="shared" si="83"/>
        <v>40000000</v>
      </c>
      <c r="R128" s="1" t="s">
        <v>435</v>
      </c>
      <c r="S128" s="1"/>
      <c r="T128" s="1" t="s">
        <v>75</v>
      </c>
      <c r="U128" s="33">
        <v>45627</v>
      </c>
      <c r="V128" s="33">
        <f>U128+120</f>
        <v>45747</v>
      </c>
      <c r="W128" s="12"/>
      <c r="X128" s="12"/>
      <c r="Y128" s="12"/>
      <c r="Z128" s="12"/>
      <c r="AA128" s="12"/>
      <c r="AB128" s="12"/>
      <c r="AC128" s="12"/>
      <c r="AD128" s="12"/>
      <c r="AE128" s="12"/>
      <c r="AF128" s="12"/>
      <c r="AG128" s="12"/>
      <c r="AH128" s="12"/>
      <c r="AI128" s="13"/>
      <c r="AJ128" s="80"/>
      <c r="AK128" s="5"/>
      <c r="AL128" s="5"/>
      <c r="AM128" s="4">
        <f>+P128*0.2</f>
        <v>8000000</v>
      </c>
      <c r="AN128" s="4"/>
      <c r="AO128" s="4"/>
      <c r="AP128" s="4">
        <f>+P128*0.6</f>
        <v>24000000</v>
      </c>
      <c r="AQ128" s="4"/>
      <c r="AR128" s="4"/>
      <c r="AS128" s="4">
        <f>+AM128</f>
        <v>8000000</v>
      </c>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row>
    <row r="129" spans="1:81" s="6" customFormat="1" ht="31.9" customHeight="1" x14ac:dyDescent="0.35">
      <c r="A129" s="11"/>
      <c r="B129" s="36" t="s">
        <v>300</v>
      </c>
      <c r="C129" s="1"/>
      <c r="D129" s="205" t="s">
        <v>74</v>
      </c>
      <c r="E129" s="1"/>
      <c r="F129" s="9"/>
      <c r="G129" s="9"/>
      <c r="H129" s="2"/>
      <c r="I129" s="2"/>
      <c r="J129" s="1"/>
      <c r="K129" s="1"/>
      <c r="L129" s="3"/>
      <c r="M129" s="28">
        <v>20000000</v>
      </c>
      <c r="N129" s="26">
        <v>1</v>
      </c>
      <c r="O129" s="26">
        <v>1</v>
      </c>
      <c r="P129" s="3">
        <f t="shared" si="82"/>
        <v>20000000</v>
      </c>
      <c r="Q129" s="17">
        <f t="shared" si="83"/>
        <v>20000000</v>
      </c>
      <c r="R129" s="1" t="s">
        <v>435</v>
      </c>
      <c r="S129" s="1"/>
      <c r="T129" s="1" t="s">
        <v>75</v>
      </c>
      <c r="U129" s="33">
        <v>45627</v>
      </c>
      <c r="V129" s="33">
        <f>U129+120</f>
        <v>45747</v>
      </c>
      <c r="W129" s="12"/>
      <c r="X129" s="12"/>
      <c r="Y129" s="12"/>
      <c r="Z129" s="12"/>
      <c r="AA129" s="12"/>
      <c r="AB129" s="12"/>
      <c r="AC129" s="12"/>
      <c r="AD129" s="12"/>
      <c r="AE129" s="12"/>
      <c r="AF129" s="12"/>
      <c r="AG129" s="12"/>
      <c r="AH129" s="12"/>
      <c r="AI129" s="13"/>
      <c r="AJ129" s="80"/>
      <c r="AK129" s="5"/>
      <c r="AL129" s="5"/>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row>
    <row r="130" spans="1:81" s="6" customFormat="1" ht="32" x14ac:dyDescent="0.35">
      <c r="A130" s="11"/>
      <c r="B130" s="36" t="s">
        <v>301</v>
      </c>
      <c r="C130" s="1" t="s">
        <v>279</v>
      </c>
      <c r="D130" s="205" t="s">
        <v>109</v>
      </c>
      <c r="E130" s="1"/>
      <c r="F130" s="9"/>
      <c r="G130" s="9"/>
      <c r="H130" s="2"/>
      <c r="I130" s="2"/>
      <c r="J130" s="1"/>
      <c r="K130" s="1"/>
      <c r="L130" s="3"/>
      <c r="M130" s="28">
        <v>30000000</v>
      </c>
      <c r="N130" s="26">
        <v>1</v>
      </c>
      <c r="O130" s="26">
        <v>1</v>
      </c>
      <c r="P130" s="3">
        <f t="shared" si="82"/>
        <v>30000000</v>
      </c>
      <c r="Q130" s="17">
        <f t="shared" si="83"/>
        <v>30000000</v>
      </c>
      <c r="R130" s="1" t="s">
        <v>435</v>
      </c>
      <c r="S130" s="1"/>
      <c r="T130" s="1" t="s">
        <v>75</v>
      </c>
      <c r="U130" s="33">
        <v>45717</v>
      </c>
      <c r="V130" s="33">
        <f>U130+90</f>
        <v>45807</v>
      </c>
      <c r="W130" s="12"/>
      <c r="X130" s="12"/>
      <c r="Y130" s="12"/>
      <c r="Z130" s="12"/>
      <c r="AA130" s="12"/>
      <c r="AB130" s="12"/>
      <c r="AC130" s="12"/>
      <c r="AD130" s="12"/>
      <c r="AE130" s="12"/>
      <c r="AF130" s="12"/>
      <c r="AG130" s="12"/>
      <c r="AH130" s="12"/>
      <c r="AI130" s="13"/>
      <c r="AJ130" s="80"/>
      <c r="AK130" s="5"/>
      <c r="AL130" s="5"/>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row>
    <row r="131" spans="1:81" ht="32" x14ac:dyDescent="0.35">
      <c r="A131" s="11"/>
      <c r="B131" s="36" t="s">
        <v>299</v>
      </c>
      <c r="C131" s="1"/>
      <c r="D131" s="205" t="s">
        <v>49</v>
      </c>
      <c r="E131" s="1"/>
      <c r="F131" s="9">
        <v>0</v>
      </c>
      <c r="G131" s="9"/>
      <c r="H131" s="2">
        <f t="shared" ref="H131" si="86">+E131-(F131+G131)</f>
        <v>0</v>
      </c>
      <c r="I131" s="2"/>
      <c r="J131" s="1"/>
      <c r="K131" s="1"/>
      <c r="L131" s="3">
        <f t="shared" ref="L131" si="87">+I131*K131*J131</f>
        <v>0</v>
      </c>
      <c r="M131" s="28">
        <v>45000000</v>
      </c>
      <c r="N131" s="26">
        <v>1</v>
      </c>
      <c r="O131" s="26">
        <v>1</v>
      </c>
      <c r="P131" s="3">
        <f t="shared" si="82"/>
        <v>45000000</v>
      </c>
      <c r="Q131" s="17">
        <f t="shared" si="83"/>
        <v>45000000</v>
      </c>
      <c r="R131" s="1" t="s">
        <v>42</v>
      </c>
      <c r="S131" s="1" t="s">
        <v>15</v>
      </c>
      <c r="T131" s="1" t="s">
        <v>75</v>
      </c>
      <c r="U131" s="33">
        <v>45779</v>
      </c>
      <c r="V131" s="33">
        <f>U131+120</f>
        <v>45899</v>
      </c>
      <c r="W131" s="12"/>
      <c r="X131" s="12"/>
      <c r="Y131" s="12"/>
      <c r="Z131" s="12"/>
      <c r="AA131" s="12"/>
      <c r="AB131" s="12"/>
      <c r="AC131" s="12"/>
      <c r="AD131" s="12"/>
      <c r="AE131" s="12"/>
      <c r="AF131" s="12"/>
      <c r="AG131" s="12"/>
      <c r="AH131" s="12"/>
      <c r="AI131" s="13"/>
      <c r="AJ131" s="80"/>
    </row>
    <row r="132" spans="1:81" ht="32" x14ac:dyDescent="0.35">
      <c r="A132" s="78"/>
      <c r="B132" s="37" t="s">
        <v>387</v>
      </c>
      <c r="C132" s="26" t="s">
        <v>81</v>
      </c>
      <c r="D132" s="206"/>
      <c r="E132" s="26"/>
      <c r="F132" s="71"/>
      <c r="G132" s="71"/>
      <c r="H132" s="28"/>
      <c r="I132" s="28"/>
      <c r="J132" s="26"/>
      <c r="K132" s="26"/>
      <c r="L132" s="3"/>
      <c r="M132" s="28">
        <v>85000</v>
      </c>
      <c r="N132" s="26">
        <f>(3*3+10)*5</f>
        <v>95</v>
      </c>
      <c r="O132" s="26">
        <v>1</v>
      </c>
      <c r="P132" s="3">
        <f t="shared" si="82"/>
        <v>8075000</v>
      </c>
      <c r="Q132" s="17">
        <f t="shared" si="83"/>
        <v>8075000</v>
      </c>
      <c r="R132" s="26" t="s">
        <v>42</v>
      </c>
      <c r="S132" s="26"/>
      <c r="T132" s="26" t="s">
        <v>75</v>
      </c>
      <c r="U132" s="34">
        <v>45703</v>
      </c>
      <c r="V132" s="34">
        <f>U132+30</f>
        <v>45733</v>
      </c>
      <c r="W132" s="79"/>
      <c r="X132" s="79"/>
      <c r="Y132" s="79"/>
      <c r="Z132" s="79"/>
      <c r="AA132" s="79"/>
      <c r="AB132" s="79"/>
      <c r="AC132" s="79"/>
      <c r="AD132" s="79"/>
      <c r="AE132" s="79"/>
      <c r="AF132" s="79"/>
      <c r="AG132" s="79"/>
      <c r="AH132" s="79"/>
      <c r="AI132" s="13"/>
      <c r="AJ132" s="80"/>
      <c r="AL132" s="330">
        <f>+P132</f>
        <v>8075000</v>
      </c>
    </row>
    <row r="133" spans="1:81" ht="32" x14ac:dyDescent="0.35">
      <c r="A133" s="78"/>
      <c r="B133" s="37" t="s">
        <v>388</v>
      </c>
      <c r="C133" s="26" t="s">
        <v>81</v>
      </c>
      <c r="D133" s="206"/>
      <c r="E133" s="26"/>
      <c r="F133" s="71"/>
      <c r="G133" s="71"/>
      <c r="H133" s="28"/>
      <c r="I133" s="28"/>
      <c r="J133" s="26"/>
      <c r="K133" s="26"/>
      <c r="L133" s="3"/>
      <c r="M133" s="28">
        <v>85000</v>
      </c>
      <c r="N133" s="26">
        <f>(3*3+10)*10</f>
        <v>190</v>
      </c>
      <c r="O133" s="26">
        <v>1</v>
      </c>
      <c r="P133" s="3">
        <f t="shared" si="82"/>
        <v>16150000</v>
      </c>
      <c r="Q133" s="17">
        <f t="shared" si="83"/>
        <v>16150000</v>
      </c>
      <c r="R133" s="26" t="s">
        <v>42</v>
      </c>
      <c r="S133" s="26"/>
      <c r="T133" s="26" t="s">
        <v>75</v>
      </c>
      <c r="U133" s="34">
        <v>45762</v>
      </c>
      <c r="V133" s="34">
        <f>U133+30</f>
        <v>45792</v>
      </c>
      <c r="W133" s="79"/>
      <c r="X133" s="79"/>
      <c r="Y133" s="79"/>
      <c r="Z133" s="79"/>
      <c r="AA133" s="79"/>
      <c r="AB133" s="79"/>
      <c r="AC133" s="79"/>
      <c r="AD133" s="79"/>
      <c r="AE133" s="79"/>
      <c r="AF133" s="79"/>
      <c r="AG133" s="79"/>
      <c r="AH133" s="79"/>
      <c r="AI133" s="13"/>
      <c r="AJ133" s="80"/>
      <c r="AN133" s="331">
        <f>+P133</f>
        <v>16150000</v>
      </c>
    </row>
    <row r="134" spans="1:81" ht="25" x14ac:dyDescent="0.35">
      <c r="A134" s="78"/>
      <c r="B134" s="37" t="s">
        <v>439</v>
      </c>
      <c r="C134" s="26"/>
      <c r="D134" s="206" t="s">
        <v>49</v>
      </c>
      <c r="E134" s="26"/>
      <c r="F134" s="71"/>
      <c r="G134" s="71"/>
      <c r="H134" s="28"/>
      <c r="I134" s="28"/>
      <c r="J134" s="26"/>
      <c r="K134" s="26"/>
      <c r="L134" s="3"/>
      <c r="M134" s="28">
        <v>50000000</v>
      </c>
      <c r="N134" s="26">
        <v>1</v>
      </c>
      <c r="O134" s="26">
        <v>1</v>
      </c>
      <c r="P134" s="3">
        <f t="shared" ref="P134" si="88">+M134*O134*N134</f>
        <v>50000000</v>
      </c>
      <c r="Q134" s="17">
        <f t="shared" ref="Q134" si="89">P134+L134</f>
        <v>50000000</v>
      </c>
      <c r="R134" s="26" t="s">
        <v>42</v>
      </c>
      <c r="S134" s="26"/>
      <c r="T134" s="26" t="s">
        <v>75</v>
      </c>
      <c r="U134" s="34"/>
      <c r="V134" s="34"/>
      <c r="W134" s="79"/>
      <c r="X134" s="79"/>
      <c r="Y134" s="79"/>
      <c r="Z134" s="79"/>
      <c r="AA134" s="79"/>
      <c r="AB134" s="79"/>
      <c r="AC134" s="79"/>
      <c r="AD134" s="79"/>
      <c r="AE134" s="79"/>
      <c r="AF134" s="79"/>
      <c r="AG134" s="79"/>
      <c r="AH134" s="79"/>
      <c r="AI134" s="13"/>
      <c r="AJ134" s="80"/>
    </row>
    <row r="135" spans="1:81" ht="32" x14ac:dyDescent="0.35">
      <c r="A135" s="78"/>
      <c r="B135" s="37" t="s">
        <v>211</v>
      </c>
      <c r="C135" s="26" t="s">
        <v>81</v>
      </c>
      <c r="D135" s="206" t="s">
        <v>49</v>
      </c>
      <c r="E135" s="26"/>
      <c r="F135" s="71">
        <v>0</v>
      </c>
      <c r="G135" s="71"/>
      <c r="H135" s="28">
        <f t="shared" si="80"/>
        <v>0</v>
      </c>
      <c r="I135" s="28">
        <v>100000</v>
      </c>
      <c r="J135" s="26">
        <f>(23+41+10+10)*4</f>
        <v>336</v>
      </c>
      <c r="K135" s="26">
        <v>1</v>
      </c>
      <c r="L135" s="3">
        <f>+I135*K135*J135</f>
        <v>33600000</v>
      </c>
      <c r="M135" s="28"/>
      <c r="N135" s="26"/>
      <c r="O135" s="26"/>
      <c r="P135" s="3">
        <f t="shared" si="82"/>
        <v>0</v>
      </c>
      <c r="Q135" s="17">
        <f t="shared" si="83"/>
        <v>33600000</v>
      </c>
      <c r="R135" s="26" t="s">
        <v>271</v>
      </c>
      <c r="S135" s="26" t="s">
        <v>15</v>
      </c>
      <c r="T135" s="26" t="s">
        <v>75</v>
      </c>
      <c r="U135" s="34">
        <v>45611</v>
      </c>
      <c r="V135" s="34">
        <f>U135+30</f>
        <v>45641</v>
      </c>
      <c r="W135" s="79"/>
      <c r="X135" s="79"/>
      <c r="Y135" s="79"/>
      <c r="Z135" s="79"/>
      <c r="AA135" s="79"/>
      <c r="AB135" s="79"/>
      <c r="AC135" s="79"/>
      <c r="AD135" s="79"/>
      <c r="AE135" s="79"/>
      <c r="AF135" s="79"/>
      <c r="AG135" s="79"/>
      <c r="AH135" s="79"/>
      <c r="AI135" s="13"/>
      <c r="AJ135" s="80"/>
    </row>
    <row r="136" spans="1:81" x14ac:dyDescent="0.35">
      <c r="A136" s="78"/>
      <c r="B136" s="120"/>
      <c r="C136" s="87"/>
      <c r="D136" s="211"/>
      <c r="E136" s="87"/>
      <c r="F136" s="186"/>
      <c r="G136" s="186"/>
      <c r="H136" s="187"/>
      <c r="I136" s="187"/>
      <c r="J136" s="87"/>
      <c r="K136" s="87"/>
      <c r="L136" s="83"/>
      <c r="M136" s="122"/>
      <c r="N136" s="87"/>
      <c r="O136" s="87"/>
      <c r="P136" s="83"/>
      <c r="Q136" s="84"/>
      <c r="R136" s="87"/>
      <c r="S136" s="87"/>
      <c r="T136" s="87"/>
      <c r="U136" s="13"/>
      <c r="V136" s="13"/>
      <c r="W136" s="13"/>
      <c r="X136" s="13"/>
      <c r="Y136" s="13"/>
      <c r="Z136" s="13"/>
      <c r="AA136" s="13"/>
      <c r="AB136" s="13"/>
      <c r="AC136" s="13"/>
      <c r="AD136" s="13"/>
      <c r="AE136" s="13"/>
      <c r="AF136" s="13"/>
      <c r="AG136" s="13"/>
      <c r="AH136" s="13"/>
      <c r="AI136" s="13"/>
      <c r="AJ136" s="80"/>
    </row>
    <row r="137" spans="1:81" s="143" customFormat="1" ht="22.5" customHeight="1" x14ac:dyDescent="0.35">
      <c r="A137" s="135" t="s">
        <v>10</v>
      </c>
      <c r="B137" s="181" t="s">
        <v>134</v>
      </c>
      <c r="C137" s="137"/>
      <c r="D137" s="210"/>
      <c r="E137" s="30">
        <f>SUM(E138:E153)</f>
        <v>139204961.84999999</v>
      </c>
      <c r="F137" s="30">
        <f t="shared" ref="F137:Q137" si="90">SUM(F138:F153)</f>
        <v>78131039</v>
      </c>
      <c r="G137" s="30">
        <f t="shared" si="90"/>
        <v>18414723</v>
      </c>
      <c r="H137" s="30">
        <f t="shared" si="90"/>
        <v>42659199.850000001</v>
      </c>
      <c r="I137" s="30">
        <f t="shared" si="90"/>
        <v>85000</v>
      </c>
      <c r="J137" s="30">
        <f t="shared" si="90"/>
        <v>180</v>
      </c>
      <c r="K137" s="30">
        <f t="shared" si="90"/>
        <v>1</v>
      </c>
      <c r="L137" s="30">
        <f t="shared" si="90"/>
        <v>15300000</v>
      </c>
      <c r="M137" s="182">
        <f t="shared" si="90"/>
        <v>123743905</v>
      </c>
      <c r="N137" s="182">
        <f t="shared" si="90"/>
        <v>1955</v>
      </c>
      <c r="O137" s="182">
        <f t="shared" si="90"/>
        <v>13</v>
      </c>
      <c r="P137" s="30">
        <f t="shared" si="90"/>
        <v>383101905</v>
      </c>
      <c r="Q137" s="30">
        <f t="shared" si="90"/>
        <v>398401905</v>
      </c>
      <c r="R137" s="138"/>
      <c r="S137" s="138"/>
      <c r="T137" s="138"/>
      <c r="U137" s="142"/>
      <c r="V137" s="142"/>
      <c r="W137" s="142"/>
      <c r="X137" s="142"/>
      <c r="Y137" s="142"/>
      <c r="Z137" s="142"/>
      <c r="AA137" s="142"/>
      <c r="AB137" s="142"/>
      <c r="AC137" s="142"/>
      <c r="AD137" s="142"/>
      <c r="AE137" s="142"/>
      <c r="AF137" s="142"/>
      <c r="AG137" s="142"/>
      <c r="AH137" s="142"/>
      <c r="AI137" s="13"/>
      <c r="AJ137" s="80"/>
      <c r="AK137" s="30">
        <f t="shared" ref="AK137:AV137" si="91">SUM(AK138:AK153)</f>
        <v>0</v>
      </c>
      <c r="AL137" s="30">
        <f t="shared" si="91"/>
        <v>9198000</v>
      </c>
      <c r="AM137" s="30">
        <f t="shared" si="91"/>
        <v>17856000</v>
      </c>
      <c r="AN137" s="30">
        <f t="shared" si="91"/>
        <v>39435720</v>
      </c>
      <c r="AO137" s="30">
        <f t="shared" si="91"/>
        <v>35040000</v>
      </c>
      <c r="AP137" s="30">
        <f t="shared" si="91"/>
        <v>0</v>
      </c>
      <c r="AQ137" s="30">
        <f t="shared" si="91"/>
        <v>0</v>
      </c>
      <c r="AR137" s="30">
        <f t="shared" si="91"/>
        <v>0</v>
      </c>
      <c r="AS137" s="30">
        <f t="shared" si="91"/>
        <v>23195541.25</v>
      </c>
      <c r="AT137" s="30">
        <f t="shared" si="91"/>
        <v>0</v>
      </c>
      <c r="AU137" s="30">
        <f t="shared" si="91"/>
        <v>16090480</v>
      </c>
      <c r="AV137" s="30">
        <f t="shared" si="91"/>
        <v>0</v>
      </c>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row>
    <row r="138" spans="1:81" s="6" customFormat="1" ht="32" x14ac:dyDescent="0.35">
      <c r="A138" s="85"/>
      <c r="B138" s="37" t="s">
        <v>389</v>
      </c>
      <c r="C138" s="26" t="s">
        <v>47</v>
      </c>
      <c r="D138" s="206" t="s">
        <v>51</v>
      </c>
      <c r="E138" s="27">
        <f>64000*2+1439250+8565760+22000</f>
        <v>10155010</v>
      </c>
      <c r="F138" s="9">
        <v>1567250</v>
      </c>
      <c r="G138" s="9">
        <f>8565760+22000</f>
        <v>8587760</v>
      </c>
      <c r="H138" s="2">
        <f t="shared" ref="H138:H153" si="92">+E138-(F138+G138)</f>
        <v>0</v>
      </c>
      <c r="I138" s="28"/>
      <c r="J138" s="26"/>
      <c r="K138" s="26"/>
      <c r="L138" s="3">
        <f t="shared" ref="L138:L153" si="93">+I138*K138*J138</f>
        <v>0</v>
      </c>
      <c r="M138" s="28">
        <v>73000</v>
      </c>
      <c r="N138" s="26">
        <f>18*7</f>
        <v>126</v>
      </c>
      <c r="O138" s="26">
        <v>1</v>
      </c>
      <c r="P138" s="3">
        <f t="shared" ref="P138:P153" si="94">+M138*O138*N138</f>
        <v>9198000</v>
      </c>
      <c r="Q138" s="17">
        <f t="shared" ref="Q138:Q153" si="95">P138+L138</f>
        <v>9198000</v>
      </c>
      <c r="R138" s="26" t="s">
        <v>13</v>
      </c>
      <c r="S138" s="26"/>
      <c r="T138" s="26"/>
      <c r="U138" s="34">
        <v>45672</v>
      </c>
      <c r="V138" s="34">
        <f>+U138+120</f>
        <v>45792</v>
      </c>
      <c r="W138" s="86"/>
      <c r="X138" s="86"/>
      <c r="Y138" s="86"/>
      <c r="Z138" s="86"/>
      <c r="AA138" s="86"/>
      <c r="AB138" s="86"/>
      <c r="AC138" s="86"/>
      <c r="AD138" s="86"/>
      <c r="AE138" s="86"/>
      <c r="AF138" s="86"/>
      <c r="AG138" s="86"/>
      <c r="AH138" s="86"/>
      <c r="AI138" s="13"/>
      <c r="AJ138" s="80" t="s">
        <v>151</v>
      </c>
      <c r="AK138" s="5"/>
      <c r="AL138" s="330">
        <f>+P138</f>
        <v>9198000</v>
      </c>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row>
    <row r="139" spans="1:81" s="6" customFormat="1" ht="25" x14ac:dyDescent="0.35">
      <c r="A139" s="85"/>
      <c r="B139" s="37" t="s">
        <v>199</v>
      </c>
      <c r="C139" s="26" t="s">
        <v>279</v>
      </c>
      <c r="D139" s="206" t="s">
        <v>24</v>
      </c>
      <c r="E139" s="27"/>
      <c r="F139" s="9"/>
      <c r="G139" s="9"/>
      <c r="H139" s="2"/>
      <c r="I139" s="28"/>
      <c r="J139" s="26"/>
      <c r="K139" s="26"/>
      <c r="L139" s="3"/>
      <c r="M139" s="28">
        <v>750000</v>
      </c>
      <c r="N139" s="26">
        <v>12</v>
      </c>
      <c r="O139" s="26">
        <v>2</v>
      </c>
      <c r="P139" s="3">
        <f t="shared" si="94"/>
        <v>18000000</v>
      </c>
      <c r="Q139" s="17">
        <f t="shared" si="95"/>
        <v>18000000</v>
      </c>
      <c r="R139" s="26" t="s">
        <v>264</v>
      </c>
      <c r="S139" s="26"/>
      <c r="T139" s="26" t="s">
        <v>13</v>
      </c>
      <c r="U139" s="34">
        <v>45672</v>
      </c>
      <c r="V139" s="34">
        <f>U139+365</f>
        <v>46037</v>
      </c>
      <c r="W139" s="86"/>
      <c r="X139" s="86"/>
      <c r="Y139" s="86"/>
      <c r="Z139" s="86"/>
      <c r="AA139" s="86"/>
      <c r="AB139" s="86"/>
      <c r="AC139" s="86"/>
      <c r="AD139" s="86"/>
      <c r="AE139" s="86"/>
      <c r="AF139" s="86"/>
      <c r="AG139" s="86"/>
      <c r="AH139" s="86"/>
      <c r="AI139" s="13"/>
      <c r="AJ139" s="80"/>
      <c r="AK139" s="5"/>
      <c r="AL139" s="5"/>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row>
    <row r="140" spans="1:81" s="6" customFormat="1" ht="48" x14ac:dyDescent="0.35">
      <c r="A140" s="85"/>
      <c r="B140" s="37" t="s">
        <v>390</v>
      </c>
      <c r="C140" s="26"/>
      <c r="D140" s="206"/>
      <c r="E140" s="27"/>
      <c r="F140" s="9">
        <v>0</v>
      </c>
      <c r="G140" s="9"/>
      <c r="H140" s="2">
        <f t="shared" si="92"/>
        <v>0</v>
      </c>
      <c r="I140" s="28"/>
      <c r="J140" s="26"/>
      <c r="K140" s="26"/>
      <c r="L140" s="3">
        <f t="shared" si="93"/>
        <v>0</v>
      </c>
      <c r="M140" s="28">
        <v>350000</v>
      </c>
      <c r="N140" s="26">
        <v>25</v>
      </c>
      <c r="O140" s="26">
        <v>1</v>
      </c>
      <c r="P140" s="3">
        <f t="shared" si="94"/>
        <v>8750000</v>
      </c>
      <c r="Q140" s="17">
        <f t="shared" si="95"/>
        <v>8750000</v>
      </c>
      <c r="R140" s="26" t="s">
        <v>303</v>
      </c>
      <c r="S140" s="26"/>
      <c r="T140" s="26" t="s">
        <v>50</v>
      </c>
      <c r="U140" s="34">
        <v>45672</v>
      </c>
      <c r="V140" s="34">
        <f>U140+30</f>
        <v>45702</v>
      </c>
      <c r="W140" s="86"/>
      <c r="X140" s="86"/>
      <c r="Y140" s="86"/>
      <c r="Z140" s="86"/>
      <c r="AA140" s="86"/>
      <c r="AB140" s="86"/>
      <c r="AC140" s="86"/>
      <c r="AD140" s="86"/>
      <c r="AE140" s="86"/>
      <c r="AF140" s="86"/>
      <c r="AG140" s="86"/>
      <c r="AH140" s="86"/>
      <c r="AI140" s="13"/>
      <c r="AJ140" s="80"/>
      <c r="AK140" s="5"/>
      <c r="AL140" s="5"/>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row>
    <row r="141" spans="1:81" s="6" customFormat="1" ht="32" x14ac:dyDescent="0.35">
      <c r="A141" s="85"/>
      <c r="B141" s="37" t="s">
        <v>391</v>
      </c>
      <c r="C141" s="26" t="s">
        <v>56</v>
      </c>
      <c r="D141" s="206" t="s">
        <v>14</v>
      </c>
      <c r="E141" s="27"/>
      <c r="F141" s="9">
        <v>0</v>
      </c>
      <c r="G141" s="9"/>
      <c r="H141" s="2">
        <f t="shared" si="92"/>
        <v>0</v>
      </c>
      <c r="I141" s="28"/>
      <c r="J141" s="26"/>
      <c r="K141" s="26"/>
      <c r="L141" s="3">
        <f t="shared" si="93"/>
        <v>0</v>
      </c>
      <c r="M141" s="28">
        <f>35100000-P140</f>
        <v>26350000</v>
      </c>
      <c r="N141" s="26">
        <v>1</v>
      </c>
      <c r="O141" s="26">
        <v>1</v>
      </c>
      <c r="P141" s="3">
        <f t="shared" si="94"/>
        <v>26350000</v>
      </c>
      <c r="Q141" s="17">
        <f t="shared" si="95"/>
        <v>26350000</v>
      </c>
      <c r="R141" s="26" t="s">
        <v>303</v>
      </c>
      <c r="S141" s="26"/>
      <c r="T141" s="26" t="s">
        <v>50</v>
      </c>
      <c r="U141" s="34">
        <f>+V140</f>
        <v>45702</v>
      </c>
      <c r="V141" s="34">
        <f>U141+60</f>
        <v>45762</v>
      </c>
      <c r="W141" s="86"/>
      <c r="X141" s="86"/>
      <c r="Y141" s="86"/>
      <c r="Z141" s="86"/>
      <c r="AA141" s="86"/>
      <c r="AB141" s="86"/>
      <c r="AC141" s="86"/>
      <c r="AD141" s="86"/>
      <c r="AE141" s="86"/>
      <c r="AF141" s="86"/>
      <c r="AG141" s="86"/>
      <c r="AH141" s="86"/>
      <c r="AI141" s="13"/>
      <c r="AJ141" s="80"/>
      <c r="AK141" s="5"/>
      <c r="AL141" s="5"/>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row>
    <row r="142" spans="1:81" ht="64" x14ac:dyDescent="0.35">
      <c r="A142" s="85"/>
      <c r="B142" s="37" t="s">
        <v>95</v>
      </c>
      <c r="C142" s="26" t="s">
        <v>335</v>
      </c>
      <c r="D142" s="206" t="s">
        <v>30</v>
      </c>
      <c r="E142" s="28"/>
      <c r="F142" s="71">
        <v>0</v>
      </c>
      <c r="G142" s="71"/>
      <c r="H142" s="28">
        <f t="shared" si="92"/>
        <v>0</v>
      </c>
      <c r="I142" s="28"/>
      <c r="J142" s="26"/>
      <c r="K142" s="26"/>
      <c r="L142" s="3">
        <f t="shared" si="93"/>
        <v>0</v>
      </c>
      <c r="M142" s="28">
        <v>19243905</v>
      </c>
      <c r="N142" s="26">
        <v>1</v>
      </c>
      <c r="O142" s="26">
        <v>1</v>
      </c>
      <c r="P142" s="3">
        <f t="shared" si="94"/>
        <v>19243905</v>
      </c>
      <c r="Q142" s="17">
        <f t="shared" si="95"/>
        <v>19243905</v>
      </c>
      <c r="R142" s="26" t="s">
        <v>303</v>
      </c>
      <c r="S142" s="26"/>
      <c r="T142" s="26" t="s">
        <v>50</v>
      </c>
      <c r="U142" s="34">
        <f>+V141</f>
        <v>45762</v>
      </c>
      <c r="V142" s="34">
        <f>+U142+30</f>
        <v>45792</v>
      </c>
      <c r="W142" s="86"/>
      <c r="X142" s="86"/>
      <c r="Y142" s="86"/>
      <c r="Z142" s="86"/>
      <c r="AA142" s="86"/>
      <c r="AB142" s="86"/>
      <c r="AC142" s="86"/>
      <c r="AD142" s="86"/>
      <c r="AE142" s="86"/>
      <c r="AF142" s="86"/>
      <c r="AG142" s="86"/>
      <c r="AH142" s="86"/>
      <c r="AI142" s="13"/>
      <c r="AJ142" s="80"/>
    </row>
    <row r="143" spans="1:81" s="312" customFormat="1" ht="32" x14ac:dyDescent="0.35">
      <c r="A143" s="307"/>
      <c r="B143" s="294" t="s">
        <v>200</v>
      </c>
      <c r="C143" s="295"/>
      <c r="D143" s="296"/>
      <c r="E143" s="308">
        <v>11089962.85</v>
      </c>
      <c r="F143" s="309">
        <v>0</v>
      </c>
      <c r="G143" s="309">
        <f>3874963+5952000</f>
        <v>9826963</v>
      </c>
      <c r="H143" s="310">
        <f>+E143-(F143+G143)</f>
        <v>1262999.8499999996</v>
      </c>
      <c r="I143" s="298"/>
      <c r="J143" s="295"/>
      <c r="K143" s="295"/>
      <c r="L143" s="299">
        <f>I143*J143*K143</f>
        <v>0</v>
      </c>
      <c r="M143" s="298"/>
      <c r="N143" s="295"/>
      <c r="O143" s="295"/>
      <c r="P143" s="299">
        <f>M143*N143*O143</f>
        <v>0</v>
      </c>
      <c r="Q143" s="300">
        <f>P143+L143</f>
        <v>0</v>
      </c>
      <c r="R143" s="295" t="s">
        <v>142</v>
      </c>
      <c r="S143" s="295"/>
      <c r="T143" s="295" t="s">
        <v>52</v>
      </c>
      <c r="U143" s="301">
        <v>45550</v>
      </c>
      <c r="V143" s="301">
        <f>U143+20</f>
        <v>45570</v>
      </c>
      <c r="W143" s="311"/>
      <c r="X143" s="311"/>
      <c r="Y143" s="311"/>
      <c r="Z143" s="311"/>
      <c r="AA143" s="311"/>
      <c r="AB143" s="311"/>
      <c r="AC143" s="311"/>
      <c r="AD143" s="311"/>
      <c r="AE143" s="311"/>
      <c r="AF143" s="311"/>
      <c r="AG143" s="311"/>
      <c r="AH143" s="311"/>
      <c r="AI143" s="303"/>
      <c r="AJ143" s="304" t="s">
        <v>172</v>
      </c>
      <c r="AK143" s="305"/>
      <c r="AL143" s="305"/>
      <c r="AM143" s="306"/>
      <c r="AN143" s="306"/>
      <c r="AO143" s="306"/>
      <c r="AP143" s="306"/>
      <c r="AQ143" s="306"/>
      <c r="AR143" s="306"/>
      <c r="AS143" s="306"/>
      <c r="AT143" s="306"/>
      <c r="AU143" s="306"/>
      <c r="AV143" s="306"/>
      <c r="AW143" s="306"/>
      <c r="AX143" s="306"/>
      <c r="AY143" s="306"/>
      <c r="AZ143" s="306"/>
      <c r="BA143" s="306"/>
      <c r="BB143" s="306"/>
      <c r="BC143" s="306"/>
      <c r="BD143" s="306"/>
      <c r="BE143" s="306"/>
      <c r="BF143" s="306"/>
      <c r="BG143" s="306"/>
      <c r="BH143" s="306"/>
      <c r="BI143" s="306"/>
      <c r="BJ143" s="306"/>
      <c r="BK143" s="306"/>
      <c r="BL143" s="306"/>
      <c r="BM143" s="306"/>
      <c r="BN143" s="306"/>
      <c r="BO143" s="306"/>
      <c r="BP143" s="306"/>
      <c r="BQ143" s="306"/>
      <c r="BR143" s="306"/>
      <c r="BS143" s="306"/>
      <c r="BT143" s="306"/>
      <c r="BU143" s="306"/>
      <c r="BV143" s="306"/>
      <c r="BW143" s="306"/>
      <c r="BX143" s="306"/>
      <c r="BY143" s="306"/>
      <c r="BZ143" s="306"/>
      <c r="CA143" s="306"/>
      <c r="CB143" s="306"/>
      <c r="CC143" s="306"/>
    </row>
    <row r="144" spans="1:81" s="6" customFormat="1" ht="49.5" customHeight="1" x14ac:dyDescent="0.35">
      <c r="A144" s="11"/>
      <c r="B144" s="36" t="s">
        <v>96</v>
      </c>
      <c r="C144" s="1" t="s">
        <v>45</v>
      </c>
      <c r="D144" s="205" t="s">
        <v>19</v>
      </c>
      <c r="E144" s="1"/>
      <c r="F144" s="9">
        <v>0</v>
      </c>
      <c r="G144" s="9"/>
      <c r="H144" s="2">
        <f t="shared" si="92"/>
        <v>0</v>
      </c>
      <c r="I144" s="2"/>
      <c r="J144" s="1"/>
      <c r="K144" s="1"/>
      <c r="L144" s="3">
        <f t="shared" si="93"/>
        <v>0</v>
      </c>
      <c r="M144" s="28">
        <v>81000</v>
      </c>
      <c r="N144" s="26">
        <f>36*2*4*3</f>
        <v>864</v>
      </c>
      <c r="O144" s="26">
        <v>1</v>
      </c>
      <c r="P144" s="3">
        <f t="shared" si="94"/>
        <v>69984000</v>
      </c>
      <c r="Q144" s="17">
        <f t="shared" si="95"/>
        <v>69984000</v>
      </c>
      <c r="R144" s="1" t="s">
        <v>195</v>
      </c>
      <c r="S144" s="1"/>
      <c r="T144" s="1" t="s">
        <v>52</v>
      </c>
      <c r="U144" s="33">
        <v>45690</v>
      </c>
      <c r="V144" s="33">
        <f>+U144+36</f>
        <v>45726</v>
      </c>
      <c r="W144" s="12"/>
      <c r="X144" s="12"/>
      <c r="Y144" s="12"/>
      <c r="Z144" s="12"/>
      <c r="AA144" s="12"/>
      <c r="AB144" s="12"/>
      <c r="AC144" s="12"/>
      <c r="AD144" s="12"/>
      <c r="AE144" s="12"/>
      <c r="AF144" s="12"/>
      <c r="AG144" s="12"/>
      <c r="AH144" s="12"/>
      <c r="AI144" s="13"/>
      <c r="AJ144" s="80"/>
      <c r="AK144" s="5"/>
      <c r="AL144" s="5"/>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row>
    <row r="145" spans="1:81" s="6" customFormat="1" ht="49.5" customHeight="1" x14ac:dyDescent="0.35">
      <c r="A145" s="11"/>
      <c r="B145" s="36" t="s">
        <v>97</v>
      </c>
      <c r="C145" s="1" t="s">
        <v>20</v>
      </c>
      <c r="D145" s="205" t="s">
        <v>53</v>
      </c>
      <c r="E145" s="1"/>
      <c r="F145" s="9">
        <v>0</v>
      </c>
      <c r="G145" s="9"/>
      <c r="H145" s="2">
        <f t="shared" si="92"/>
        <v>0</v>
      </c>
      <c r="I145" s="2"/>
      <c r="J145" s="1"/>
      <c r="K145" s="1"/>
      <c r="L145" s="3">
        <f t="shared" si="93"/>
        <v>0</v>
      </c>
      <c r="M145" s="28">
        <f>90000+140000</f>
        <v>230000</v>
      </c>
      <c r="N145" s="26">
        <f>36*2*3</f>
        <v>216</v>
      </c>
      <c r="O145" s="26">
        <v>1</v>
      </c>
      <c r="P145" s="3">
        <f t="shared" si="94"/>
        <v>49680000</v>
      </c>
      <c r="Q145" s="17">
        <f t="shared" si="95"/>
        <v>49680000</v>
      </c>
      <c r="R145" s="1" t="s">
        <v>195</v>
      </c>
      <c r="S145" s="1" t="s">
        <v>15</v>
      </c>
      <c r="T145" s="1" t="s">
        <v>52</v>
      </c>
      <c r="U145" s="33">
        <f>+U144</f>
        <v>45690</v>
      </c>
      <c r="V145" s="33">
        <f>+U145+36</f>
        <v>45726</v>
      </c>
      <c r="W145" s="12"/>
      <c r="X145" s="12"/>
      <c r="Y145" s="12"/>
      <c r="Z145" s="12"/>
      <c r="AA145" s="12"/>
      <c r="AB145" s="12"/>
      <c r="AC145" s="12"/>
      <c r="AD145" s="12"/>
      <c r="AE145" s="12"/>
      <c r="AF145" s="12"/>
      <c r="AG145" s="12"/>
      <c r="AH145" s="12"/>
      <c r="AI145" s="13"/>
      <c r="AJ145" s="80"/>
      <c r="AK145" s="5"/>
      <c r="AL145" s="5"/>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row>
    <row r="146" spans="1:81" ht="34.5" x14ac:dyDescent="0.35">
      <c r="A146" s="188"/>
      <c r="B146" s="36" t="s">
        <v>392</v>
      </c>
      <c r="C146" s="1" t="s">
        <v>45</v>
      </c>
      <c r="D146" s="205" t="s">
        <v>54</v>
      </c>
      <c r="E146" s="1"/>
      <c r="F146" s="9">
        <v>0</v>
      </c>
      <c r="G146" s="9"/>
      <c r="H146" s="2">
        <f t="shared" si="92"/>
        <v>0</v>
      </c>
      <c r="I146" s="2"/>
      <c r="J146" s="1"/>
      <c r="K146" s="1"/>
      <c r="L146" s="3">
        <f t="shared" si="93"/>
        <v>0</v>
      </c>
      <c r="M146" s="28">
        <v>1500000</v>
      </c>
      <c r="N146" s="26">
        <v>36</v>
      </c>
      <c r="O146" s="26">
        <v>1</v>
      </c>
      <c r="P146" s="3">
        <f t="shared" si="94"/>
        <v>54000000</v>
      </c>
      <c r="Q146" s="17">
        <f t="shared" si="95"/>
        <v>54000000</v>
      </c>
      <c r="R146" s="1" t="s">
        <v>195</v>
      </c>
      <c r="S146" s="1"/>
      <c r="T146" s="1" t="s">
        <v>52</v>
      </c>
      <c r="U146" s="33">
        <f>+U144</f>
        <v>45690</v>
      </c>
      <c r="V146" s="33">
        <f>+U146+36</f>
        <v>45726</v>
      </c>
      <c r="W146" s="12"/>
      <c r="X146" s="12"/>
      <c r="Y146" s="12"/>
      <c r="Z146" s="12"/>
      <c r="AA146" s="12"/>
      <c r="AB146" s="12"/>
      <c r="AC146" s="12"/>
      <c r="AD146" s="12"/>
      <c r="AE146" s="12"/>
      <c r="AF146" s="12"/>
      <c r="AG146" s="12"/>
      <c r="AH146" s="12"/>
      <c r="AI146" s="13"/>
      <c r="AJ146" s="80"/>
    </row>
    <row r="147" spans="1:81" ht="25" x14ac:dyDescent="0.35">
      <c r="A147" s="11"/>
      <c r="B147" s="36" t="s">
        <v>393</v>
      </c>
      <c r="C147" s="1" t="s">
        <v>394</v>
      </c>
      <c r="D147" s="205" t="s">
        <v>37</v>
      </c>
      <c r="E147" s="1"/>
      <c r="F147" s="9">
        <v>0</v>
      </c>
      <c r="G147" s="9"/>
      <c r="H147" s="2">
        <f t="shared" si="92"/>
        <v>0</v>
      </c>
      <c r="I147" s="2"/>
      <c r="J147" s="1"/>
      <c r="K147" s="1"/>
      <c r="L147" s="3">
        <f t="shared" si="93"/>
        <v>0</v>
      </c>
      <c r="M147" s="28">
        <v>40000000</v>
      </c>
      <c r="N147" s="26">
        <v>1</v>
      </c>
      <c r="O147" s="26">
        <v>1</v>
      </c>
      <c r="P147" s="3">
        <f t="shared" si="94"/>
        <v>40000000</v>
      </c>
      <c r="Q147" s="17">
        <f t="shared" si="95"/>
        <v>40000000</v>
      </c>
      <c r="R147" s="1" t="s">
        <v>195</v>
      </c>
      <c r="S147" s="1"/>
      <c r="T147" s="1" t="s">
        <v>52</v>
      </c>
      <c r="U147" s="33">
        <f>+U146</f>
        <v>45690</v>
      </c>
      <c r="V147" s="33">
        <f>+U147+30</f>
        <v>45720</v>
      </c>
      <c r="W147" s="13"/>
      <c r="X147" s="13"/>
      <c r="Y147" s="13"/>
      <c r="Z147" s="13"/>
      <c r="AA147" s="13"/>
      <c r="AB147" s="13"/>
      <c r="AC147" s="13"/>
      <c r="AD147" s="13"/>
      <c r="AE147" s="13"/>
      <c r="AF147" s="13"/>
      <c r="AG147" s="13"/>
      <c r="AH147" s="13"/>
      <c r="AI147" s="13"/>
      <c r="AJ147" s="80"/>
    </row>
    <row r="148" spans="1:81" s="6" customFormat="1" ht="48" x14ac:dyDescent="0.35">
      <c r="A148" s="11"/>
      <c r="B148" s="36" t="s">
        <v>395</v>
      </c>
      <c r="C148" s="1" t="s">
        <v>36</v>
      </c>
      <c r="D148" s="205" t="s">
        <v>37</v>
      </c>
      <c r="E148" s="2">
        <v>80452400</v>
      </c>
      <c r="F148" s="9">
        <v>40226200</v>
      </c>
      <c r="G148" s="9"/>
      <c r="H148" s="2">
        <f t="shared" si="92"/>
        <v>40226200</v>
      </c>
      <c r="I148" s="2"/>
      <c r="J148" s="1"/>
      <c r="K148" s="1"/>
      <c r="L148" s="3">
        <f t="shared" si="93"/>
        <v>0</v>
      </c>
      <c r="M148" s="28"/>
      <c r="N148" s="26"/>
      <c r="O148" s="26"/>
      <c r="P148" s="3">
        <f t="shared" si="94"/>
        <v>0</v>
      </c>
      <c r="Q148" s="17">
        <f t="shared" si="95"/>
        <v>0</v>
      </c>
      <c r="R148" s="1" t="s">
        <v>261</v>
      </c>
      <c r="S148" s="1"/>
      <c r="T148" s="1" t="s">
        <v>75</v>
      </c>
      <c r="U148" s="33">
        <v>45361</v>
      </c>
      <c r="V148" s="33">
        <f>+U148+300</f>
        <v>45661</v>
      </c>
      <c r="W148" s="13"/>
      <c r="X148" s="13"/>
      <c r="Y148" s="13"/>
      <c r="Z148" s="13"/>
      <c r="AA148" s="13"/>
      <c r="AB148" s="13"/>
      <c r="AC148" s="13"/>
      <c r="AD148" s="13"/>
      <c r="AE148" s="13"/>
      <c r="AF148" s="13"/>
      <c r="AG148" s="13"/>
      <c r="AH148" s="13"/>
      <c r="AI148" s="13"/>
      <c r="AJ148" s="80"/>
      <c r="AK148" s="5"/>
      <c r="AL148" s="5"/>
      <c r="AM148" s="4"/>
      <c r="AN148" s="331">
        <f>40226200*0.6</f>
        <v>24135720</v>
      </c>
      <c r="AO148" s="331"/>
      <c r="AP148" s="331"/>
      <c r="AQ148" s="331"/>
      <c r="AR148" s="331"/>
      <c r="AS148" s="331"/>
      <c r="AT148" s="331"/>
      <c r="AU148" s="331">
        <f>40226200*0.4</f>
        <v>16090480</v>
      </c>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row>
    <row r="149" spans="1:81" s="306" customFormat="1" ht="48" x14ac:dyDescent="0.35">
      <c r="A149" s="293"/>
      <c r="B149" s="294" t="s">
        <v>396</v>
      </c>
      <c r="C149" s="295" t="s">
        <v>56</v>
      </c>
      <c r="D149" s="296" t="s">
        <v>57</v>
      </c>
      <c r="E149" s="298">
        <f>5895000+1620000+585000-240000+112000*2+29423589</f>
        <v>37507589</v>
      </c>
      <c r="F149" s="297">
        <v>36337589</v>
      </c>
      <c r="G149" s="297"/>
      <c r="H149" s="298">
        <f t="shared" si="92"/>
        <v>1170000</v>
      </c>
      <c r="I149" s="298"/>
      <c r="J149" s="295"/>
      <c r="K149" s="295"/>
      <c r="L149" s="299">
        <f t="shared" si="93"/>
        <v>0</v>
      </c>
      <c r="M149" s="298"/>
      <c r="N149" s="295"/>
      <c r="O149" s="295"/>
      <c r="P149" s="299">
        <f t="shared" si="94"/>
        <v>0</v>
      </c>
      <c r="Q149" s="300">
        <f t="shared" si="95"/>
        <v>0</v>
      </c>
      <c r="R149" s="295" t="s">
        <v>265</v>
      </c>
      <c r="S149" s="295" t="s">
        <v>15</v>
      </c>
      <c r="T149" s="295" t="s">
        <v>75</v>
      </c>
      <c r="U149" s="301">
        <v>45413</v>
      </c>
      <c r="V149" s="301">
        <v>45596</v>
      </c>
      <c r="W149" s="302"/>
      <c r="X149" s="302"/>
      <c r="Y149" s="302"/>
      <c r="Z149" s="302"/>
      <c r="AA149" s="302"/>
      <c r="AB149" s="302"/>
      <c r="AC149" s="302"/>
      <c r="AD149" s="302"/>
      <c r="AE149" s="302"/>
      <c r="AF149" s="302"/>
      <c r="AG149" s="302"/>
      <c r="AH149" s="302"/>
      <c r="AI149" s="303"/>
      <c r="AJ149" s="304" t="s">
        <v>153</v>
      </c>
      <c r="AK149" s="305"/>
      <c r="AL149" s="305"/>
      <c r="AS149" s="331">
        <v>23195541.25</v>
      </c>
    </row>
    <row r="150" spans="1:81" ht="32" x14ac:dyDescent="0.35">
      <c r="A150" s="78"/>
      <c r="B150" s="37" t="s">
        <v>212</v>
      </c>
      <c r="C150" s="26" t="s">
        <v>201</v>
      </c>
      <c r="D150" s="206" t="s">
        <v>19</v>
      </c>
      <c r="E150" s="26"/>
      <c r="F150" s="71">
        <v>0</v>
      </c>
      <c r="G150" s="71"/>
      <c r="H150" s="28">
        <f>+E150-(F150+G150)</f>
        <v>0</v>
      </c>
      <c r="I150" s="28"/>
      <c r="J150" s="26"/>
      <c r="K150" s="26"/>
      <c r="L150" s="3">
        <f>+I150*K150*J150</f>
        <v>0</v>
      </c>
      <c r="M150" s="28">
        <v>93000</v>
      </c>
      <c r="N150" s="26">
        <f>48*4</f>
        <v>192</v>
      </c>
      <c r="O150" s="26">
        <v>1</v>
      </c>
      <c r="P150" s="3">
        <f>+M150*O150*N150</f>
        <v>17856000</v>
      </c>
      <c r="Q150" s="17">
        <f>P150+L150</f>
        <v>17856000</v>
      </c>
      <c r="R150" s="26" t="s">
        <v>254</v>
      </c>
      <c r="S150" s="26"/>
      <c r="T150" s="26" t="s">
        <v>202</v>
      </c>
      <c r="U150" s="34">
        <v>45311</v>
      </c>
      <c r="V150" s="34">
        <f>+U150+30</f>
        <v>45341</v>
      </c>
      <c r="W150" s="79"/>
      <c r="X150" s="79"/>
      <c r="Y150" s="79"/>
      <c r="Z150" s="79"/>
      <c r="AA150" s="79"/>
      <c r="AB150" s="79"/>
      <c r="AC150" s="79"/>
      <c r="AD150" s="79"/>
      <c r="AE150" s="79"/>
      <c r="AF150" s="79"/>
      <c r="AG150" s="79"/>
      <c r="AH150" s="79"/>
      <c r="AI150" s="13"/>
      <c r="AJ150" s="80"/>
      <c r="AM150" s="331">
        <f>+P150</f>
        <v>17856000</v>
      </c>
    </row>
    <row r="151" spans="1:81" ht="32" x14ac:dyDescent="0.35">
      <c r="A151" s="78"/>
      <c r="B151" s="37" t="s">
        <v>304</v>
      </c>
      <c r="C151" s="26" t="s">
        <v>201</v>
      </c>
      <c r="D151" s="206" t="s">
        <v>19</v>
      </c>
      <c r="E151" s="28"/>
      <c r="F151" s="71"/>
      <c r="G151" s="71"/>
      <c r="H151" s="28"/>
      <c r="I151" s="28">
        <v>85000</v>
      </c>
      <c r="J151" s="26">
        <f>45*4</f>
        <v>180</v>
      </c>
      <c r="K151" s="26">
        <v>1</v>
      </c>
      <c r="L151" s="3">
        <f t="shared" si="93"/>
        <v>15300000</v>
      </c>
      <c r="M151" s="28"/>
      <c r="N151" s="26"/>
      <c r="O151" s="26"/>
      <c r="P151" s="3"/>
      <c r="Q151" s="17">
        <f t="shared" si="95"/>
        <v>15300000</v>
      </c>
      <c r="R151" s="26" t="s">
        <v>254</v>
      </c>
      <c r="S151" s="26"/>
      <c r="T151" s="26" t="s">
        <v>202</v>
      </c>
      <c r="U151" s="34">
        <v>45628</v>
      </c>
      <c r="V151" s="34">
        <f>+U151+20</f>
        <v>45648</v>
      </c>
      <c r="W151" s="79"/>
      <c r="X151" s="79"/>
      <c r="Y151" s="79"/>
      <c r="Z151" s="79"/>
      <c r="AA151" s="79"/>
      <c r="AB151" s="79"/>
      <c r="AC151" s="79"/>
      <c r="AD151" s="79"/>
      <c r="AE151" s="79"/>
      <c r="AF151" s="79"/>
      <c r="AG151" s="79"/>
      <c r="AH151" s="79"/>
      <c r="AI151" s="13"/>
      <c r="AJ151" s="80"/>
      <c r="AN151" s="331">
        <f>+Q151</f>
        <v>15300000</v>
      </c>
    </row>
    <row r="152" spans="1:81" ht="32" x14ac:dyDescent="0.35">
      <c r="A152" s="78"/>
      <c r="B152" s="37" t="s">
        <v>98</v>
      </c>
      <c r="C152" s="26" t="s">
        <v>201</v>
      </c>
      <c r="D152" s="206" t="s">
        <v>19</v>
      </c>
      <c r="E152" s="26"/>
      <c r="F152" s="71">
        <v>0</v>
      </c>
      <c r="G152" s="71"/>
      <c r="H152" s="28">
        <f>+E152-(F152+G152)</f>
        <v>0</v>
      </c>
      <c r="I152" s="28"/>
      <c r="J152" s="26"/>
      <c r="K152" s="26"/>
      <c r="L152" s="3">
        <f>+I152*K152*J152</f>
        <v>0</v>
      </c>
      <c r="M152" s="28">
        <v>73000</v>
      </c>
      <c r="N152" s="26">
        <f>(41+26+6+6+1)*6</f>
        <v>480</v>
      </c>
      <c r="O152" s="26">
        <v>1</v>
      </c>
      <c r="P152" s="3">
        <f>+M152*O152*N152</f>
        <v>35040000</v>
      </c>
      <c r="Q152" s="17">
        <f>P152+L152</f>
        <v>35040000</v>
      </c>
      <c r="R152" s="26" t="s">
        <v>254</v>
      </c>
      <c r="S152" s="26"/>
      <c r="T152" s="26" t="s">
        <v>202</v>
      </c>
      <c r="U152" s="34">
        <v>45748</v>
      </c>
      <c r="V152" s="34">
        <f>+U152+60</f>
        <v>45808</v>
      </c>
      <c r="W152" s="13"/>
      <c r="X152" s="13"/>
      <c r="Y152" s="13"/>
      <c r="Z152" s="13"/>
      <c r="AA152" s="13"/>
      <c r="AB152" s="13"/>
      <c r="AC152" s="13"/>
      <c r="AD152" s="13"/>
      <c r="AE152" s="13"/>
      <c r="AF152" s="13"/>
      <c r="AG152" s="13"/>
      <c r="AH152" s="13"/>
      <c r="AI152" s="13"/>
      <c r="AJ152" s="80"/>
      <c r="AO152" s="331">
        <f>+P152</f>
        <v>35040000</v>
      </c>
    </row>
    <row r="153" spans="1:81" s="6" customFormat="1" ht="80" x14ac:dyDescent="0.35">
      <c r="A153" s="189"/>
      <c r="B153" s="36" t="s">
        <v>397</v>
      </c>
      <c r="C153" s="1"/>
      <c r="D153" s="205" t="s">
        <v>123</v>
      </c>
      <c r="E153" s="1"/>
      <c r="F153" s="9">
        <v>0</v>
      </c>
      <c r="G153" s="9"/>
      <c r="H153" s="2">
        <f t="shared" si="92"/>
        <v>0</v>
      </c>
      <c r="I153" s="2"/>
      <c r="J153" s="1"/>
      <c r="K153" s="1"/>
      <c r="L153" s="83">
        <f t="shared" si="93"/>
        <v>0</v>
      </c>
      <c r="M153" s="122">
        <v>35000000</v>
      </c>
      <c r="N153" s="87">
        <v>1</v>
      </c>
      <c r="O153" s="87">
        <v>1</v>
      </c>
      <c r="P153" s="83">
        <f t="shared" si="94"/>
        <v>35000000</v>
      </c>
      <c r="Q153" s="17">
        <f t="shared" si="95"/>
        <v>35000000</v>
      </c>
      <c r="R153" s="1" t="s">
        <v>269</v>
      </c>
      <c r="S153" s="1"/>
      <c r="T153" s="1" t="s">
        <v>90</v>
      </c>
      <c r="U153" s="33">
        <v>45748</v>
      </c>
      <c r="V153" s="33">
        <f>+U153+60</f>
        <v>45808</v>
      </c>
      <c r="W153" s="95"/>
      <c r="X153" s="95"/>
      <c r="Y153" s="95"/>
      <c r="Z153" s="95"/>
      <c r="AA153" s="95"/>
      <c r="AB153" s="95"/>
      <c r="AC153" s="95"/>
      <c r="AD153" s="95"/>
      <c r="AE153" s="95"/>
      <c r="AF153" s="95"/>
      <c r="AG153" s="95"/>
      <c r="AH153" s="95"/>
      <c r="AI153" s="95"/>
      <c r="AJ153" s="190" t="s">
        <v>148</v>
      </c>
      <c r="AK153" s="191"/>
      <c r="AL153" s="191"/>
    </row>
    <row r="154" spans="1:81" s="143" customFormat="1" ht="26.5" customHeight="1" x14ac:dyDescent="0.35">
      <c r="A154" s="135" t="s">
        <v>10</v>
      </c>
      <c r="B154" s="181" t="s">
        <v>58</v>
      </c>
      <c r="C154" s="137"/>
      <c r="D154" s="210"/>
      <c r="E154" s="30">
        <f>E155+E180+E188+E185</f>
        <v>571886880</v>
      </c>
      <c r="F154" s="30">
        <f>F155+F180+F188+F185</f>
        <v>252801879</v>
      </c>
      <c r="G154" s="30">
        <f>G155+G180+G188+G185</f>
        <v>56169632</v>
      </c>
      <c r="H154" s="30">
        <f>H155+H180+H188</f>
        <v>287037577</v>
      </c>
      <c r="I154" s="139"/>
      <c r="J154" s="137"/>
      <c r="K154" s="192"/>
      <c r="L154" s="30">
        <f>L155+L180+L188+L185</f>
        <v>452579985.19999999</v>
      </c>
      <c r="M154" s="122"/>
      <c r="N154" s="158"/>
      <c r="O154" s="88"/>
      <c r="P154" s="30">
        <f>P155+P180+P188+P185</f>
        <v>1031102705.36</v>
      </c>
      <c r="Q154" s="30">
        <f>Q155+Q180+Q188+Q185</f>
        <v>1483682690.5599999</v>
      </c>
      <c r="R154" s="138"/>
      <c r="S154" s="138"/>
      <c r="T154" s="138"/>
      <c r="U154" s="142"/>
      <c r="V154" s="142"/>
      <c r="W154" s="142"/>
      <c r="X154" s="142"/>
      <c r="Y154" s="142"/>
      <c r="Z154" s="142"/>
      <c r="AA154" s="142"/>
      <c r="AB154" s="142"/>
      <c r="AC154" s="142"/>
      <c r="AD154" s="142"/>
      <c r="AE154" s="142"/>
      <c r="AF154" s="142"/>
      <c r="AG154" s="142"/>
      <c r="AH154" s="142"/>
      <c r="AI154" s="13"/>
      <c r="AJ154" s="80"/>
      <c r="AK154" s="30">
        <f>AK155+AK180+AK188+AK185</f>
        <v>44725473</v>
      </c>
      <c r="AL154" s="30">
        <f t="shared" ref="AL154:AV154" si="96">AL155+AL180+AL188+AL185</f>
        <v>155910383</v>
      </c>
      <c r="AM154" s="30">
        <f t="shared" si="96"/>
        <v>108552541.09999999</v>
      </c>
      <c r="AN154" s="30">
        <f t="shared" si="96"/>
        <v>51433909.100000001</v>
      </c>
      <c r="AO154" s="30">
        <f t="shared" si="96"/>
        <v>106708909.09999999</v>
      </c>
      <c r="AP154" s="30">
        <f t="shared" si="96"/>
        <v>75897819.099999994</v>
      </c>
      <c r="AQ154" s="30">
        <f t="shared" si="96"/>
        <v>49933909.100000001</v>
      </c>
      <c r="AR154" s="30">
        <f t="shared" si="96"/>
        <v>51647659.100000001</v>
      </c>
      <c r="AS154" s="30">
        <f t="shared" si="96"/>
        <v>50320846.600000001</v>
      </c>
      <c r="AT154" s="30">
        <f t="shared" si="96"/>
        <v>59282256.600000001</v>
      </c>
      <c r="AU154" s="30">
        <f t="shared" si="96"/>
        <v>54943346.600000001</v>
      </c>
      <c r="AV154" s="30">
        <f t="shared" si="96"/>
        <v>64338346.600000001</v>
      </c>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row>
    <row r="155" spans="1:81" s="155" customFormat="1" ht="26.5" customHeight="1" x14ac:dyDescent="0.35">
      <c r="A155" s="144" t="s">
        <v>127</v>
      </c>
      <c r="B155" s="145" t="s">
        <v>398</v>
      </c>
      <c r="C155" s="32"/>
      <c r="D155" s="208"/>
      <c r="E155" s="31">
        <f>E156+E179</f>
        <v>269088594</v>
      </c>
      <c r="F155" s="31">
        <f>F156+F179</f>
        <v>143496262</v>
      </c>
      <c r="G155" s="31">
        <f>SUM(G156:G179)</f>
        <v>23748722</v>
      </c>
      <c r="H155" s="31">
        <f>H156+H179</f>
        <v>125592332</v>
      </c>
      <c r="I155" s="147"/>
      <c r="J155" s="32"/>
      <c r="K155" s="148"/>
      <c r="L155" s="31">
        <f>L156+L179</f>
        <v>259570165.19999999</v>
      </c>
      <c r="M155" s="122"/>
      <c r="N155" s="158"/>
      <c r="O155" s="88"/>
      <c r="P155" s="31">
        <f t="shared" ref="P155:Q155" si="97">P156+P179</f>
        <v>617389361.75999999</v>
      </c>
      <c r="Q155" s="31">
        <f t="shared" si="97"/>
        <v>876959526.96000004</v>
      </c>
      <c r="R155" s="149"/>
      <c r="S155" s="149"/>
      <c r="T155" s="149"/>
      <c r="U155" s="151"/>
      <c r="V155" s="151"/>
      <c r="W155" s="151"/>
      <c r="X155" s="151"/>
      <c r="Y155" s="151"/>
      <c r="Z155" s="151"/>
      <c r="AA155" s="151"/>
      <c r="AB155" s="151"/>
      <c r="AC155" s="151"/>
      <c r="AD155" s="151"/>
      <c r="AE155" s="151"/>
      <c r="AF155" s="151"/>
      <c r="AG155" s="151"/>
      <c r="AH155" s="151"/>
      <c r="AI155" s="152"/>
      <c r="AJ155" s="153"/>
      <c r="AK155" s="31">
        <f t="shared" ref="AK155:AV155" si="98">AK156+AK179</f>
        <v>40163295</v>
      </c>
      <c r="AL155" s="31">
        <f t="shared" si="98"/>
        <v>42399295</v>
      </c>
      <c r="AM155" s="31">
        <f t="shared" si="98"/>
        <v>45371731.100000001</v>
      </c>
      <c r="AN155" s="31">
        <f t="shared" si="98"/>
        <v>45371731.100000001</v>
      </c>
      <c r="AO155" s="31">
        <f t="shared" si="98"/>
        <v>45371731.100000001</v>
      </c>
      <c r="AP155" s="31">
        <f t="shared" si="98"/>
        <v>45371731.100000001</v>
      </c>
      <c r="AQ155" s="31">
        <f t="shared" si="98"/>
        <v>45371731.100000001</v>
      </c>
      <c r="AR155" s="31">
        <f t="shared" si="98"/>
        <v>45560481.100000001</v>
      </c>
      <c r="AS155" s="31">
        <f t="shared" si="98"/>
        <v>45758668.600000001</v>
      </c>
      <c r="AT155" s="31">
        <f t="shared" si="98"/>
        <v>45796168.600000001</v>
      </c>
      <c r="AU155" s="31">
        <f t="shared" si="98"/>
        <v>45796168.600000001</v>
      </c>
      <c r="AV155" s="31">
        <f t="shared" si="98"/>
        <v>45796168.600000001</v>
      </c>
    </row>
    <row r="156" spans="1:81" s="6" customFormat="1" ht="25" x14ac:dyDescent="0.35">
      <c r="A156" s="81" t="s">
        <v>158</v>
      </c>
      <c r="B156" s="36" t="s">
        <v>213</v>
      </c>
      <c r="C156" s="1" t="s">
        <v>279</v>
      </c>
      <c r="D156" s="205" t="s">
        <v>102</v>
      </c>
      <c r="E156" s="204">
        <f>SUM(E157:E178)</f>
        <v>269088594</v>
      </c>
      <c r="F156" s="204">
        <f>SUM(F157:F178)</f>
        <v>143496262</v>
      </c>
      <c r="G156" s="9">
        <v>23748722</v>
      </c>
      <c r="H156" s="204">
        <f>SUM(H157:H178)</f>
        <v>125592332</v>
      </c>
      <c r="I156" s="2"/>
      <c r="J156" s="1"/>
      <c r="K156" s="1"/>
      <c r="L156" s="3">
        <f>SUM(L157:L178)</f>
        <v>107674435.2</v>
      </c>
      <c r="M156" s="28"/>
      <c r="N156" s="26"/>
      <c r="O156" s="26"/>
      <c r="P156" s="3">
        <f t="shared" ref="P156:Q156" si="99">SUM(P157:P178)</f>
        <v>423114485.75999999</v>
      </c>
      <c r="Q156" s="17">
        <f t="shared" si="99"/>
        <v>530788920.96000004</v>
      </c>
      <c r="R156" s="1" t="s">
        <v>50</v>
      </c>
      <c r="S156" s="1"/>
      <c r="T156" s="1"/>
      <c r="U156" s="33">
        <v>45352</v>
      </c>
      <c r="V156" s="33">
        <f>U156+365</f>
        <v>45717</v>
      </c>
      <c r="W156" s="12"/>
      <c r="X156" s="12"/>
      <c r="Y156" s="12"/>
      <c r="Z156" s="12"/>
      <c r="AA156" s="12"/>
      <c r="AB156" s="12"/>
      <c r="AC156" s="12"/>
      <c r="AD156" s="12"/>
      <c r="AE156" s="12"/>
      <c r="AF156" s="12"/>
      <c r="AG156" s="12"/>
      <c r="AH156" s="12"/>
      <c r="AI156" s="13"/>
      <c r="AJ156" s="80"/>
      <c r="AK156" s="3">
        <f t="shared" ref="AK156:AV156" si="100">SUM(AK157:AK178)</f>
        <v>23973722</v>
      </c>
      <c r="AL156" s="3">
        <f t="shared" si="100"/>
        <v>26209722</v>
      </c>
      <c r="AM156" s="3">
        <f t="shared" si="100"/>
        <v>29182158.100000001</v>
      </c>
      <c r="AN156" s="3">
        <f t="shared" si="100"/>
        <v>29182158.100000001</v>
      </c>
      <c r="AO156" s="3">
        <f t="shared" si="100"/>
        <v>29182158.100000001</v>
      </c>
      <c r="AP156" s="3">
        <f t="shared" si="100"/>
        <v>29182158.100000001</v>
      </c>
      <c r="AQ156" s="3">
        <f t="shared" si="100"/>
        <v>29182158.100000001</v>
      </c>
      <c r="AR156" s="3">
        <f t="shared" si="100"/>
        <v>29370908.100000001</v>
      </c>
      <c r="AS156" s="3">
        <f t="shared" si="100"/>
        <v>29569095.600000001</v>
      </c>
      <c r="AT156" s="3">
        <f t="shared" si="100"/>
        <v>29606595.600000001</v>
      </c>
      <c r="AU156" s="3">
        <f t="shared" si="100"/>
        <v>29606595.600000001</v>
      </c>
      <c r="AV156" s="3">
        <f t="shared" si="100"/>
        <v>29606595.600000001</v>
      </c>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row>
    <row r="157" spans="1:81" s="215" customFormat="1" ht="13.5" hidden="1" x14ac:dyDescent="0.35">
      <c r="A157" s="377" t="s">
        <v>159</v>
      </c>
      <c r="B157" s="378" t="s">
        <v>399</v>
      </c>
      <c r="C157" s="379"/>
      <c r="D157" s="380" t="s">
        <v>243</v>
      </c>
      <c r="E157" s="381">
        <f>30175920-3771990</f>
        <v>26403930</v>
      </c>
      <c r="F157" s="382">
        <v>26403930</v>
      </c>
      <c r="G157" s="382"/>
      <c r="H157" s="381">
        <f t="shared" ref="H157:H179" si="101">+E157-(F157+G157)</f>
        <v>0</v>
      </c>
      <c r="I157" s="381">
        <f>3771990*1.04</f>
        <v>3922869.6</v>
      </c>
      <c r="J157" s="379">
        <v>12</v>
      </c>
      <c r="K157" s="379">
        <v>1</v>
      </c>
      <c r="L157" s="383">
        <f t="shared" ref="L157:L179" si="102">+I157*K157*J157</f>
        <v>47074435.200000003</v>
      </c>
      <c r="M157" s="381">
        <f>3771990*1.04</f>
        <v>3922869.6</v>
      </c>
      <c r="N157" s="379">
        <v>12</v>
      </c>
      <c r="O157" s="379">
        <v>1</v>
      </c>
      <c r="P157" s="381">
        <f t="shared" ref="P157:P172" si="103">+M157*O157*N157</f>
        <v>47074435.200000003</v>
      </c>
      <c r="Q157" s="382">
        <f t="shared" ref="Q157:Q179" si="104">P157+L157</f>
        <v>94148870.400000006</v>
      </c>
      <c r="R157" s="379" t="s">
        <v>16</v>
      </c>
      <c r="S157" s="379"/>
      <c r="T157" s="379"/>
      <c r="U157" s="384"/>
      <c r="V157" s="384"/>
      <c r="W157" s="385"/>
      <c r="X157" s="385"/>
      <c r="Y157" s="385"/>
      <c r="Z157" s="385"/>
      <c r="AA157" s="385"/>
      <c r="AB157" s="385"/>
      <c r="AC157" s="385"/>
      <c r="AD157" s="385"/>
      <c r="AE157" s="385"/>
      <c r="AF157" s="385"/>
      <c r="AG157" s="385"/>
      <c r="AH157" s="385"/>
      <c r="AI157" s="386"/>
      <c r="AJ157" s="387"/>
      <c r="AK157" s="382">
        <v>3775000</v>
      </c>
      <c r="AL157" s="382">
        <v>3775000</v>
      </c>
      <c r="AM157" s="382">
        <v>3775000</v>
      </c>
      <c r="AN157" s="382">
        <v>3775000</v>
      </c>
      <c r="AO157" s="382">
        <v>3775000</v>
      </c>
      <c r="AP157" s="382">
        <v>3775000</v>
      </c>
      <c r="AQ157" s="382">
        <v>3775000</v>
      </c>
      <c r="AR157" s="382">
        <f>+AQ157*1.05</f>
        <v>3963750</v>
      </c>
      <c r="AS157" s="382">
        <f>+AR157*1.05</f>
        <v>4161937.5</v>
      </c>
      <c r="AT157" s="382">
        <f>+AS157</f>
        <v>4161937.5</v>
      </c>
      <c r="AU157" s="382">
        <f t="shared" ref="AU157:AV157" si="105">+AT157</f>
        <v>4161937.5</v>
      </c>
      <c r="AV157" s="382">
        <f t="shared" si="105"/>
        <v>4161937.5</v>
      </c>
    </row>
    <row r="158" spans="1:81" s="215" customFormat="1" ht="13.5" hidden="1" x14ac:dyDescent="0.35">
      <c r="A158" s="377" t="s">
        <v>159</v>
      </c>
      <c r="B158" s="378" t="s">
        <v>316</v>
      </c>
      <c r="C158" s="379"/>
      <c r="D158" s="380" t="s">
        <v>243</v>
      </c>
      <c r="E158" s="381">
        <v>31200000</v>
      </c>
      <c r="F158" s="382">
        <v>15600000</v>
      </c>
      <c r="G158" s="382"/>
      <c r="H158" s="381">
        <f t="shared" si="101"/>
        <v>15600000</v>
      </c>
      <c r="I158" s="381"/>
      <c r="J158" s="379"/>
      <c r="K158" s="379"/>
      <c r="L158" s="383">
        <f t="shared" si="102"/>
        <v>0</v>
      </c>
      <c r="M158" s="388">
        <f>2600000*1.04</f>
        <v>2704000</v>
      </c>
      <c r="N158" s="379">
        <v>12</v>
      </c>
      <c r="O158" s="379">
        <v>1</v>
      </c>
      <c r="P158" s="381">
        <f t="shared" si="103"/>
        <v>32448000</v>
      </c>
      <c r="Q158" s="382">
        <f t="shared" si="104"/>
        <v>32448000</v>
      </c>
      <c r="R158" s="379" t="s">
        <v>16</v>
      </c>
      <c r="S158" s="379"/>
      <c r="T158" s="379"/>
      <c r="U158" s="384"/>
      <c r="V158" s="384"/>
      <c r="W158" s="385"/>
      <c r="X158" s="385"/>
      <c r="Y158" s="385"/>
      <c r="Z158" s="385"/>
      <c r="AA158" s="385"/>
      <c r="AB158" s="385"/>
      <c r="AC158" s="385"/>
      <c r="AD158" s="385"/>
      <c r="AE158" s="385"/>
      <c r="AF158" s="385"/>
      <c r="AG158" s="385"/>
      <c r="AH158" s="385"/>
      <c r="AI158" s="386"/>
      <c r="AJ158" s="387"/>
      <c r="AK158" s="382">
        <v>2600000</v>
      </c>
      <c r="AL158" s="382">
        <v>2600000</v>
      </c>
      <c r="AM158" s="389">
        <f>+AL158*1.05</f>
        <v>2730000</v>
      </c>
      <c r="AN158" s="389">
        <f>+AM158</f>
        <v>2730000</v>
      </c>
      <c r="AO158" s="389">
        <f t="shared" ref="AO158:AV158" si="106">+AN158</f>
        <v>2730000</v>
      </c>
      <c r="AP158" s="389">
        <f t="shared" si="106"/>
        <v>2730000</v>
      </c>
      <c r="AQ158" s="389">
        <f t="shared" si="106"/>
        <v>2730000</v>
      </c>
      <c r="AR158" s="389">
        <f t="shared" si="106"/>
        <v>2730000</v>
      </c>
      <c r="AS158" s="389">
        <f t="shared" si="106"/>
        <v>2730000</v>
      </c>
      <c r="AT158" s="389">
        <f t="shared" si="106"/>
        <v>2730000</v>
      </c>
      <c r="AU158" s="389">
        <f t="shared" si="106"/>
        <v>2730000</v>
      </c>
      <c r="AV158" s="389">
        <f t="shared" si="106"/>
        <v>2730000</v>
      </c>
    </row>
    <row r="159" spans="1:81" s="215" customFormat="1" ht="13.5" hidden="1" x14ac:dyDescent="0.35">
      <c r="A159" s="377" t="s">
        <v>159</v>
      </c>
      <c r="B159" s="378" t="s">
        <v>317</v>
      </c>
      <c r="C159" s="379"/>
      <c r="D159" s="380" t="s">
        <v>243</v>
      </c>
      <c r="E159" s="381">
        <v>28800000</v>
      </c>
      <c r="F159" s="382">
        <v>14400000</v>
      </c>
      <c r="G159" s="382"/>
      <c r="H159" s="381">
        <f t="shared" si="101"/>
        <v>14400000</v>
      </c>
      <c r="I159" s="381"/>
      <c r="J159" s="379"/>
      <c r="K159" s="379"/>
      <c r="L159" s="383">
        <f t="shared" si="102"/>
        <v>0</v>
      </c>
      <c r="M159" s="388">
        <f>2400000*1.04</f>
        <v>2496000</v>
      </c>
      <c r="N159" s="379">
        <v>12</v>
      </c>
      <c r="O159" s="379">
        <v>1</v>
      </c>
      <c r="P159" s="381">
        <f t="shared" si="103"/>
        <v>29952000</v>
      </c>
      <c r="Q159" s="382">
        <f t="shared" si="104"/>
        <v>29952000</v>
      </c>
      <c r="R159" s="379" t="s">
        <v>16</v>
      </c>
      <c r="S159" s="379"/>
      <c r="T159" s="379"/>
      <c r="U159" s="384"/>
      <c r="V159" s="384"/>
      <c r="W159" s="385"/>
      <c r="X159" s="385"/>
      <c r="Y159" s="385"/>
      <c r="Z159" s="385"/>
      <c r="AA159" s="385"/>
      <c r="AB159" s="385"/>
      <c r="AC159" s="385"/>
      <c r="AD159" s="385"/>
      <c r="AE159" s="385"/>
      <c r="AF159" s="385"/>
      <c r="AG159" s="385"/>
      <c r="AH159" s="385"/>
      <c r="AI159" s="386"/>
      <c r="AJ159" s="387"/>
      <c r="AK159" s="382">
        <v>2400000</v>
      </c>
      <c r="AL159" s="382">
        <v>2400000</v>
      </c>
      <c r="AM159" s="389">
        <f>+AL159*1.05</f>
        <v>2520000</v>
      </c>
      <c r="AN159" s="389">
        <f>+AM159</f>
        <v>2520000</v>
      </c>
      <c r="AO159" s="389">
        <f t="shared" ref="AO159:AV159" si="107">+AN159</f>
        <v>2520000</v>
      </c>
      <c r="AP159" s="389">
        <f t="shared" si="107"/>
        <v>2520000</v>
      </c>
      <c r="AQ159" s="389">
        <f t="shared" si="107"/>
        <v>2520000</v>
      </c>
      <c r="AR159" s="389">
        <f t="shared" si="107"/>
        <v>2520000</v>
      </c>
      <c r="AS159" s="389">
        <f t="shared" si="107"/>
        <v>2520000</v>
      </c>
      <c r="AT159" s="389">
        <f t="shared" si="107"/>
        <v>2520000</v>
      </c>
      <c r="AU159" s="389">
        <f t="shared" si="107"/>
        <v>2520000</v>
      </c>
      <c r="AV159" s="389">
        <f t="shared" si="107"/>
        <v>2520000</v>
      </c>
    </row>
    <row r="160" spans="1:81" s="215" customFormat="1" ht="13.5" hidden="1" x14ac:dyDescent="0.35">
      <c r="A160" s="377" t="s">
        <v>159</v>
      </c>
      <c r="B160" s="378" t="s">
        <v>318</v>
      </c>
      <c r="C160" s="379"/>
      <c r="D160" s="380" t="s">
        <v>243</v>
      </c>
      <c r="E160" s="381">
        <v>4136028</v>
      </c>
      <c r="F160" s="382">
        <v>2368014</v>
      </c>
      <c r="G160" s="382"/>
      <c r="H160" s="381">
        <f t="shared" si="101"/>
        <v>1768014</v>
      </c>
      <c r="I160" s="381"/>
      <c r="J160" s="379"/>
      <c r="K160" s="379"/>
      <c r="L160" s="383">
        <f t="shared" si="102"/>
        <v>0</v>
      </c>
      <c r="M160" s="388">
        <f>394669*1.04</f>
        <v>410455.76</v>
      </c>
      <c r="N160" s="379">
        <v>12</v>
      </c>
      <c r="O160" s="379">
        <v>1</v>
      </c>
      <c r="P160" s="381">
        <f t="shared" si="103"/>
        <v>4925469.12</v>
      </c>
      <c r="Q160" s="382">
        <f t="shared" si="104"/>
        <v>4925469.12</v>
      </c>
      <c r="R160" s="379" t="s">
        <v>16</v>
      </c>
      <c r="S160" s="379"/>
      <c r="T160" s="379"/>
      <c r="U160" s="384"/>
      <c r="V160" s="384"/>
      <c r="W160" s="385"/>
      <c r="X160" s="385"/>
      <c r="Y160" s="385"/>
      <c r="Z160" s="385"/>
      <c r="AA160" s="385"/>
      <c r="AB160" s="385"/>
      <c r="AC160" s="385"/>
      <c r="AD160" s="385"/>
      <c r="AE160" s="385"/>
      <c r="AF160" s="385"/>
      <c r="AG160" s="385"/>
      <c r="AH160" s="385"/>
      <c r="AI160" s="386"/>
      <c r="AJ160" s="387"/>
      <c r="AK160" s="382">
        <v>394669</v>
      </c>
      <c r="AL160" s="382">
        <v>394669</v>
      </c>
      <c r="AM160" s="389">
        <f t="shared" ref="AM160:AM162" si="108">+AL160*1.05</f>
        <v>414402.45</v>
      </c>
      <c r="AN160" s="389">
        <f t="shared" ref="AN160:AV160" si="109">+AM160</f>
        <v>414402.45</v>
      </c>
      <c r="AO160" s="389">
        <f t="shared" si="109"/>
        <v>414402.45</v>
      </c>
      <c r="AP160" s="389">
        <f t="shared" si="109"/>
        <v>414402.45</v>
      </c>
      <c r="AQ160" s="389">
        <f t="shared" si="109"/>
        <v>414402.45</v>
      </c>
      <c r="AR160" s="389">
        <f t="shared" si="109"/>
        <v>414402.45</v>
      </c>
      <c r="AS160" s="389">
        <f t="shared" si="109"/>
        <v>414402.45</v>
      </c>
      <c r="AT160" s="389">
        <f t="shared" si="109"/>
        <v>414402.45</v>
      </c>
      <c r="AU160" s="389">
        <f t="shared" si="109"/>
        <v>414402.45</v>
      </c>
      <c r="AV160" s="389">
        <f t="shared" si="109"/>
        <v>414402.45</v>
      </c>
    </row>
    <row r="161" spans="1:49" s="215" customFormat="1" ht="13.5" hidden="1" x14ac:dyDescent="0.35">
      <c r="A161" s="377" t="s">
        <v>159</v>
      </c>
      <c r="B161" s="378" t="s">
        <v>319</v>
      </c>
      <c r="C161" s="379"/>
      <c r="D161" s="380" t="s">
        <v>243</v>
      </c>
      <c r="E161" s="381">
        <v>4795320</v>
      </c>
      <c r="F161" s="382">
        <v>2397660</v>
      </c>
      <c r="G161" s="382"/>
      <c r="H161" s="381">
        <f t="shared" si="101"/>
        <v>2397660</v>
      </c>
      <c r="I161" s="381"/>
      <c r="J161" s="379"/>
      <c r="K161" s="379"/>
      <c r="L161" s="383">
        <f t="shared" si="102"/>
        <v>0</v>
      </c>
      <c r="M161" s="388">
        <f>399610*1.04</f>
        <v>415594.4</v>
      </c>
      <c r="N161" s="379">
        <v>12</v>
      </c>
      <c r="O161" s="379">
        <v>1</v>
      </c>
      <c r="P161" s="381">
        <f t="shared" si="103"/>
        <v>4987132.8000000007</v>
      </c>
      <c r="Q161" s="382">
        <f t="shared" si="104"/>
        <v>4987132.8000000007</v>
      </c>
      <c r="R161" s="379" t="s">
        <v>16</v>
      </c>
      <c r="S161" s="379"/>
      <c r="T161" s="379"/>
      <c r="U161" s="384"/>
      <c r="V161" s="384"/>
      <c r="W161" s="385"/>
      <c r="X161" s="385"/>
      <c r="Y161" s="385"/>
      <c r="Z161" s="385"/>
      <c r="AA161" s="385"/>
      <c r="AB161" s="385"/>
      <c r="AC161" s="385"/>
      <c r="AD161" s="385"/>
      <c r="AE161" s="385"/>
      <c r="AF161" s="385"/>
      <c r="AG161" s="385"/>
      <c r="AH161" s="385"/>
      <c r="AI161" s="386"/>
      <c r="AJ161" s="387"/>
      <c r="AK161" s="382">
        <v>399610</v>
      </c>
      <c r="AL161" s="382">
        <v>399610</v>
      </c>
      <c r="AM161" s="389">
        <f t="shared" si="108"/>
        <v>419590.5</v>
      </c>
      <c r="AN161" s="389">
        <f t="shared" ref="AN161:AV161" si="110">+AM161</f>
        <v>419590.5</v>
      </c>
      <c r="AO161" s="389">
        <f t="shared" si="110"/>
        <v>419590.5</v>
      </c>
      <c r="AP161" s="389">
        <f t="shared" si="110"/>
        <v>419590.5</v>
      </c>
      <c r="AQ161" s="389">
        <f t="shared" si="110"/>
        <v>419590.5</v>
      </c>
      <c r="AR161" s="389">
        <f t="shared" si="110"/>
        <v>419590.5</v>
      </c>
      <c r="AS161" s="389">
        <f t="shared" si="110"/>
        <v>419590.5</v>
      </c>
      <c r="AT161" s="389">
        <f t="shared" si="110"/>
        <v>419590.5</v>
      </c>
      <c r="AU161" s="389">
        <f t="shared" si="110"/>
        <v>419590.5</v>
      </c>
      <c r="AV161" s="389">
        <f t="shared" si="110"/>
        <v>419590.5</v>
      </c>
    </row>
    <row r="162" spans="1:49" s="215" customFormat="1" ht="13.5" hidden="1" x14ac:dyDescent="0.35">
      <c r="A162" s="377" t="s">
        <v>159</v>
      </c>
      <c r="B162" s="378" t="s">
        <v>320</v>
      </c>
      <c r="C162" s="379"/>
      <c r="D162" s="380" t="s">
        <v>243</v>
      </c>
      <c r="E162" s="381">
        <v>4733316</v>
      </c>
      <c r="F162" s="382">
        <v>2366658</v>
      </c>
      <c r="G162" s="382"/>
      <c r="H162" s="381">
        <f t="shared" si="101"/>
        <v>2366658</v>
      </c>
      <c r="I162" s="381"/>
      <c r="J162" s="379"/>
      <c r="K162" s="379"/>
      <c r="L162" s="383">
        <f t="shared" si="102"/>
        <v>0</v>
      </c>
      <c r="M162" s="388">
        <f>394443*1.04</f>
        <v>410220.72000000003</v>
      </c>
      <c r="N162" s="379">
        <v>12</v>
      </c>
      <c r="O162" s="379">
        <v>1</v>
      </c>
      <c r="P162" s="381">
        <f t="shared" si="103"/>
        <v>4922648.6400000006</v>
      </c>
      <c r="Q162" s="382">
        <f t="shared" si="104"/>
        <v>4922648.6400000006</v>
      </c>
      <c r="R162" s="379" t="s">
        <v>16</v>
      </c>
      <c r="S162" s="379"/>
      <c r="T162" s="379"/>
      <c r="U162" s="384"/>
      <c r="V162" s="384"/>
      <c r="W162" s="385"/>
      <c r="X162" s="385"/>
      <c r="Y162" s="385"/>
      <c r="Z162" s="385"/>
      <c r="AA162" s="385"/>
      <c r="AB162" s="385"/>
      <c r="AC162" s="385"/>
      <c r="AD162" s="385"/>
      <c r="AE162" s="385"/>
      <c r="AF162" s="385"/>
      <c r="AG162" s="385"/>
      <c r="AH162" s="385"/>
      <c r="AI162" s="386"/>
      <c r="AJ162" s="387"/>
      <c r="AK162" s="382">
        <v>394443</v>
      </c>
      <c r="AL162" s="382">
        <v>394443</v>
      </c>
      <c r="AM162" s="389">
        <f t="shared" si="108"/>
        <v>414165.15</v>
      </c>
      <c r="AN162" s="389">
        <f t="shared" ref="AN162:AV162" si="111">+AM162</f>
        <v>414165.15</v>
      </c>
      <c r="AO162" s="389">
        <f t="shared" si="111"/>
        <v>414165.15</v>
      </c>
      <c r="AP162" s="389">
        <f t="shared" si="111"/>
        <v>414165.15</v>
      </c>
      <c r="AQ162" s="389">
        <f t="shared" si="111"/>
        <v>414165.15</v>
      </c>
      <c r="AR162" s="389">
        <f t="shared" si="111"/>
        <v>414165.15</v>
      </c>
      <c r="AS162" s="389">
        <f t="shared" si="111"/>
        <v>414165.15</v>
      </c>
      <c r="AT162" s="389">
        <f t="shared" si="111"/>
        <v>414165.15</v>
      </c>
      <c r="AU162" s="389">
        <f t="shared" si="111"/>
        <v>414165.15</v>
      </c>
      <c r="AV162" s="389">
        <f t="shared" si="111"/>
        <v>414165.15</v>
      </c>
    </row>
    <row r="163" spans="1:49" s="215" customFormat="1" ht="13.5" hidden="1" x14ac:dyDescent="0.35">
      <c r="A163" s="377" t="s">
        <v>159</v>
      </c>
      <c r="B163" s="378" t="s">
        <v>400</v>
      </c>
      <c r="C163" s="379"/>
      <c r="D163" s="380" t="s">
        <v>243</v>
      </c>
      <c r="E163" s="381">
        <v>28800000</v>
      </c>
      <c r="F163" s="382">
        <v>14400000</v>
      </c>
      <c r="G163" s="382"/>
      <c r="H163" s="381">
        <f t="shared" si="101"/>
        <v>14400000</v>
      </c>
      <c r="I163" s="381"/>
      <c r="J163" s="379"/>
      <c r="K163" s="379"/>
      <c r="L163" s="383">
        <f t="shared" si="102"/>
        <v>0</v>
      </c>
      <c r="M163" s="388">
        <f>2400000*1.04</f>
        <v>2496000</v>
      </c>
      <c r="N163" s="379">
        <v>12</v>
      </c>
      <c r="O163" s="379">
        <v>1</v>
      </c>
      <c r="P163" s="381">
        <f t="shared" si="103"/>
        <v>29952000</v>
      </c>
      <c r="Q163" s="382">
        <f t="shared" si="104"/>
        <v>29952000</v>
      </c>
      <c r="R163" s="379" t="s">
        <v>16</v>
      </c>
      <c r="S163" s="379"/>
      <c r="T163" s="379"/>
      <c r="U163" s="384"/>
      <c r="V163" s="384"/>
      <c r="W163" s="385"/>
      <c r="X163" s="385"/>
      <c r="Y163" s="385"/>
      <c r="Z163" s="385"/>
      <c r="AA163" s="385"/>
      <c r="AB163" s="385"/>
      <c r="AC163" s="385"/>
      <c r="AD163" s="385"/>
      <c r="AE163" s="385"/>
      <c r="AF163" s="385"/>
      <c r="AG163" s="385"/>
      <c r="AH163" s="385"/>
      <c r="AI163" s="386"/>
      <c r="AJ163" s="387"/>
      <c r="AK163" s="382">
        <v>2400000</v>
      </c>
      <c r="AL163" s="382">
        <v>2400000</v>
      </c>
      <c r="AM163" s="389">
        <f>+AL163*1.05</f>
        <v>2520000</v>
      </c>
      <c r="AN163" s="389">
        <f>+AM163</f>
        <v>2520000</v>
      </c>
      <c r="AO163" s="389">
        <f t="shared" ref="AO163:AV164" si="112">+AN163</f>
        <v>2520000</v>
      </c>
      <c r="AP163" s="389">
        <f t="shared" si="112"/>
        <v>2520000</v>
      </c>
      <c r="AQ163" s="389">
        <f t="shared" si="112"/>
        <v>2520000</v>
      </c>
      <c r="AR163" s="389">
        <f t="shared" si="112"/>
        <v>2520000</v>
      </c>
      <c r="AS163" s="389">
        <f t="shared" si="112"/>
        <v>2520000</v>
      </c>
      <c r="AT163" s="389">
        <f t="shared" si="112"/>
        <v>2520000</v>
      </c>
      <c r="AU163" s="389">
        <f t="shared" si="112"/>
        <v>2520000</v>
      </c>
      <c r="AV163" s="389">
        <f t="shared" si="112"/>
        <v>2520000</v>
      </c>
    </row>
    <row r="164" spans="1:49" s="215" customFormat="1" ht="13.5" hidden="1" x14ac:dyDescent="0.35">
      <c r="A164" s="377" t="s">
        <v>159</v>
      </c>
      <c r="B164" s="378" t="s">
        <v>321</v>
      </c>
      <c r="C164" s="379"/>
      <c r="D164" s="380" t="s">
        <v>243</v>
      </c>
      <c r="E164" s="381">
        <v>10440000</v>
      </c>
      <c r="F164" s="382">
        <v>5220000</v>
      </c>
      <c r="G164" s="382"/>
      <c r="H164" s="381">
        <f t="shared" si="101"/>
        <v>5220000</v>
      </c>
      <c r="I164" s="381"/>
      <c r="J164" s="379"/>
      <c r="K164" s="379"/>
      <c r="L164" s="383">
        <f t="shared" si="102"/>
        <v>0</v>
      </c>
      <c r="M164" s="388">
        <f>870000*1.04</f>
        <v>904800</v>
      </c>
      <c r="N164" s="379">
        <v>12</v>
      </c>
      <c r="O164" s="379">
        <v>1</v>
      </c>
      <c r="P164" s="381">
        <f t="shared" si="103"/>
        <v>10857600</v>
      </c>
      <c r="Q164" s="382">
        <f t="shared" si="104"/>
        <v>10857600</v>
      </c>
      <c r="R164" s="379" t="s">
        <v>16</v>
      </c>
      <c r="S164" s="379"/>
      <c r="T164" s="379"/>
      <c r="U164" s="384"/>
      <c r="V164" s="384"/>
      <c r="W164" s="385"/>
      <c r="X164" s="385"/>
      <c r="Y164" s="385"/>
      <c r="Z164" s="385"/>
      <c r="AA164" s="385"/>
      <c r="AB164" s="385"/>
      <c r="AC164" s="385"/>
      <c r="AD164" s="385"/>
      <c r="AE164" s="385"/>
      <c r="AF164" s="385"/>
      <c r="AG164" s="385"/>
      <c r="AH164" s="385"/>
      <c r="AI164" s="386"/>
      <c r="AJ164" s="387"/>
      <c r="AK164" s="382">
        <v>870000</v>
      </c>
      <c r="AL164" s="382">
        <v>870000</v>
      </c>
      <c r="AM164" s="389">
        <f>+AL164*1.05</f>
        <v>913500</v>
      </c>
      <c r="AN164" s="389">
        <f>+AM164</f>
        <v>913500</v>
      </c>
      <c r="AO164" s="389">
        <f t="shared" si="112"/>
        <v>913500</v>
      </c>
      <c r="AP164" s="389">
        <f t="shared" si="112"/>
        <v>913500</v>
      </c>
      <c r="AQ164" s="389">
        <f t="shared" si="112"/>
        <v>913500</v>
      </c>
      <c r="AR164" s="389">
        <f t="shared" si="112"/>
        <v>913500</v>
      </c>
      <c r="AS164" s="389">
        <f t="shared" si="112"/>
        <v>913500</v>
      </c>
      <c r="AT164" s="389">
        <f t="shared" si="112"/>
        <v>913500</v>
      </c>
      <c r="AU164" s="389">
        <f t="shared" si="112"/>
        <v>913500</v>
      </c>
      <c r="AV164" s="389">
        <f t="shared" si="112"/>
        <v>913500</v>
      </c>
    </row>
    <row r="165" spans="1:49" s="215" customFormat="1" ht="13.5" hidden="1" x14ac:dyDescent="0.35">
      <c r="A165" s="377" t="s">
        <v>159</v>
      </c>
      <c r="B165" s="378" t="s">
        <v>401</v>
      </c>
      <c r="C165" s="379"/>
      <c r="D165" s="380" t="s">
        <v>243</v>
      </c>
      <c r="E165" s="381">
        <f>2250000*12</f>
        <v>27000000</v>
      </c>
      <c r="F165" s="382">
        <v>13500000</v>
      </c>
      <c r="G165" s="382"/>
      <c r="H165" s="381">
        <f t="shared" si="101"/>
        <v>13500000</v>
      </c>
      <c r="I165" s="381"/>
      <c r="J165" s="379"/>
      <c r="K165" s="379"/>
      <c r="L165" s="383">
        <f t="shared" si="102"/>
        <v>0</v>
      </c>
      <c r="M165" s="388">
        <f>2250000*1.04</f>
        <v>2340000</v>
      </c>
      <c r="N165" s="379">
        <v>12</v>
      </c>
      <c r="O165" s="379">
        <v>1</v>
      </c>
      <c r="P165" s="381">
        <f t="shared" si="103"/>
        <v>28080000</v>
      </c>
      <c r="Q165" s="382">
        <f t="shared" si="104"/>
        <v>28080000</v>
      </c>
      <c r="R165" s="379" t="s">
        <v>16</v>
      </c>
      <c r="S165" s="379"/>
      <c r="T165" s="379"/>
      <c r="U165" s="384"/>
      <c r="V165" s="384"/>
      <c r="W165" s="385"/>
      <c r="X165" s="385"/>
      <c r="Y165" s="385"/>
      <c r="Z165" s="385"/>
      <c r="AA165" s="385"/>
      <c r="AB165" s="385"/>
      <c r="AC165" s="385"/>
      <c r="AD165" s="385"/>
      <c r="AE165" s="385"/>
      <c r="AF165" s="385"/>
      <c r="AG165" s="385"/>
      <c r="AH165" s="385"/>
      <c r="AI165" s="386"/>
      <c r="AJ165" s="387"/>
      <c r="AK165" s="382">
        <v>2250000</v>
      </c>
      <c r="AL165" s="382">
        <v>2250000</v>
      </c>
      <c r="AM165" s="389">
        <f>+AL165*1.05</f>
        <v>2362500</v>
      </c>
      <c r="AN165" s="389">
        <f>+AM165</f>
        <v>2362500</v>
      </c>
      <c r="AO165" s="389">
        <f t="shared" ref="AO165:AV166" si="113">+AN165</f>
        <v>2362500</v>
      </c>
      <c r="AP165" s="389">
        <f t="shared" si="113"/>
        <v>2362500</v>
      </c>
      <c r="AQ165" s="389">
        <f t="shared" si="113"/>
        <v>2362500</v>
      </c>
      <c r="AR165" s="389">
        <f t="shared" si="113"/>
        <v>2362500</v>
      </c>
      <c r="AS165" s="389">
        <f t="shared" si="113"/>
        <v>2362500</v>
      </c>
      <c r="AT165" s="389">
        <f t="shared" si="113"/>
        <v>2362500</v>
      </c>
      <c r="AU165" s="389">
        <f t="shared" si="113"/>
        <v>2362500</v>
      </c>
      <c r="AV165" s="389">
        <f t="shared" si="113"/>
        <v>2362500</v>
      </c>
      <c r="AW165" s="389"/>
    </row>
    <row r="166" spans="1:49" s="215" customFormat="1" ht="13.5" hidden="1" x14ac:dyDescent="0.35">
      <c r="A166" s="377" t="s">
        <v>159</v>
      </c>
      <c r="B166" s="378" t="s">
        <v>322</v>
      </c>
      <c r="C166" s="379"/>
      <c r="D166" s="380" t="s">
        <v>243</v>
      </c>
      <c r="E166" s="381">
        <v>25800000</v>
      </c>
      <c r="F166" s="382">
        <v>12900000</v>
      </c>
      <c r="G166" s="382"/>
      <c r="H166" s="381">
        <f t="shared" si="101"/>
        <v>12900000</v>
      </c>
      <c r="I166" s="381"/>
      <c r="J166" s="379"/>
      <c r="K166" s="379"/>
      <c r="L166" s="383">
        <f t="shared" si="102"/>
        <v>0</v>
      </c>
      <c r="M166" s="388">
        <f>2150000*1.04</f>
        <v>2236000</v>
      </c>
      <c r="N166" s="379">
        <v>12</v>
      </c>
      <c r="O166" s="379">
        <v>1</v>
      </c>
      <c r="P166" s="381">
        <f t="shared" si="103"/>
        <v>26832000</v>
      </c>
      <c r="Q166" s="382">
        <f t="shared" si="104"/>
        <v>26832000</v>
      </c>
      <c r="R166" s="379" t="s">
        <v>16</v>
      </c>
      <c r="S166" s="379"/>
      <c r="T166" s="379"/>
      <c r="U166" s="384"/>
      <c r="V166" s="384"/>
      <c r="W166" s="385"/>
      <c r="X166" s="385"/>
      <c r="Y166" s="385"/>
      <c r="Z166" s="385"/>
      <c r="AA166" s="385"/>
      <c r="AB166" s="385"/>
      <c r="AC166" s="385"/>
      <c r="AD166" s="385"/>
      <c r="AE166" s="385"/>
      <c r="AF166" s="385"/>
      <c r="AG166" s="385"/>
      <c r="AH166" s="385"/>
      <c r="AI166" s="386"/>
      <c r="AJ166" s="387"/>
      <c r="AK166" s="390">
        <v>2150000</v>
      </c>
      <c r="AL166" s="390">
        <v>2150000</v>
      </c>
      <c r="AM166" s="389">
        <f>+AL166*1.05</f>
        <v>2257500</v>
      </c>
      <c r="AN166" s="389">
        <f>+AM166</f>
        <v>2257500</v>
      </c>
      <c r="AO166" s="389">
        <f t="shared" si="113"/>
        <v>2257500</v>
      </c>
      <c r="AP166" s="389">
        <f t="shared" si="113"/>
        <v>2257500</v>
      </c>
      <c r="AQ166" s="389">
        <f t="shared" si="113"/>
        <v>2257500</v>
      </c>
      <c r="AR166" s="389">
        <f t="shared" si="113"/>
        <v>2257500</v>
      </c>
      <c r="AS166" s="389">
        <f t="shared" si="113"/>
        <v>2257500</v>
      </c>
      <c r="AT166" s="389">
        <f t="shared" si="113"/>
        <v>2257500</v>
      </c>
      <c r="AU166" s="389">
        <f t="shared" si="113"/>
        <v>2257500</v>
      </c>
      <c r="AV166" s="389">
        <f t="shared" si="113"/>
        <v>2257500</v>
      </c>
      <c r="AW166" s="389"/>
    </row>
    <row r="167" spans="1:49" s="215" customFormat="1" ht="13.5" hidden="1" x14ac:dyDescent="0.35">
      <c r="A167" s="377" t="s">
        <v>159</v>
      </c>
      <c r="B167" s="378" t="s">
        <v>323</v>
      </c>
      <c r="C167" s="379"/>
      <c r="D167" s="380" t="s">
        <v>243</v>
      </c>
      <c r="E167" s="381">
        <v>25800000</v>
      </c>
      <c r="F167" s="382">
        <v>12900000</v>
      </c>
      <c r="G167" s="382"/>
      <c r="H167" s="381">
        <f t="shared" si="101"/>
        <v>12900000</v>
      </c>
      <c r="I167" s="381"/>
      <c r="J167" s="379"/>
      <c r="K167" s="379"/>
      <c r="L167" s="383">
        <f t="shared" si="102"/>
        <v>0</v>
      </c>
      <c r="M167" s="388">
        <f>2150000*1.04</f>
        <v>2236000</v>
      </c>
      <c r="N167" s="379">
        <v>12</v>
      </c>
      <c r="O167" s="379">
        <v>1</v>
      </c>
      <c r="P167" s="381">
        <f t="shared" si="103"/>
        <v>26832000</v>
      </c>
      <c r="Q167" s="382">
        <f t="shared" si="104"/>
        <v>26832000</v>
      </c>
      <c r="R167" s="379" t="s">
        <v>16</v>
      </c>
      <c r="S167" s="379"/>
      <c r="T167" s="379"/>
      <c r="U167" s="384"/>
      <c r="V167" s="384"/>
      <c r="W167" s="385"/>
      <c r="X167" s="385"/>
      <c r="Y167" s="385"/>
      <c r="Z167" s="385"/>
      <c r="AA167" s="385"/>
      <c r="AB167" s="385"/>
      <c r="AC167" s="385"/>
      <c r="AD167" s="385"/>
      <c r="AE167" s="385"/>
      <c r="AF167" s="385"/>
      <c r="AG167" s="385"/>
      <c r="AH167" s="385"/>
      <c r="AI167" s="386"/>
      <c r="AJ167" s="387"/>
      <c r="AK167" s="390">
        <v>2150000</v>
      </c>
      <c r="AL167" s="390">
        <v>2150000</v>
      </c>
      <c r="AM167" s="389">
        <f>+AL167*1.05</f>
        <v>2257500</v>
      </c>
      <c r="AN167" s="389">
        <f t="shared" ref="AN167:AV167" si="114">+AM167</f>
        <v>2257500</v>
      </c>
      <c r="AO167" s="389">
        <f t="shared" si="114"/>
        <v>2257500</v>
      </c>
      <c r="AP167" s="389">
        <f t="shared" si="114"/>
        <v>2257500</v>
      </c>
      <c r="AQ167" s="389">
        <f t="shared" si="114"/>
        <v>2257500</v>
      </c>
      <c r="AR167" s="389">
        <f t="shared" si="114"/>
        <v>2257500</v>
      </c>
      <c r="AS167" s="389">
        <f t="shared" si="114"/>
        <v>2257500</v>
      </c>
      <c r="AT167" s="389">
        <f t="shared" si="114"/>
        <v>2257500</v>
      </c>
      <c r="AU167" s="389">
        <f t="shared" si="114"/>
        <v>2257500</v>
      </c>
      <c r="AV167" s="389">
        <f t="shared" si="114"/>
        <v>2257500</v>
      </c>
      <c r="AW167" s="389"/>
    </row>
    <row r="168" spans="1:49" s="215" customFormat="1" ht="13.5" hidden="1" x14ac:dyDescent="0.35">
      <c r="A168" s="377" t="s">
        <v>159</v>
      </c>
      <c r="B168" s="378" t="s">
        <v>324</v>
      </c>
      <c r="C168" s="379"/>
      <c r="D168" s="380" t="s">
        <v>243</v>
      </c>
      <c r="E168" s="381">
        <v>10440000</v>
      </c>
      <c r="F168" s="382">
        <v>5220000</v>
      </c>
      <c r="G168" s="382"/>
      <c r="H168" s="381">
        <f t="shared" si="101"/>
        <v>5220000</v>
      </c>
      <c r="I168" s="381"/>
      <c r="J168" s="379"/>
      <c r="K168" s="379"/>
      <c r="L168" s="383">
        <f t="shared" si="102"/>
        <v>0</v>
      </c>
      <c r="M168" s="388">
        <f>870000*1.04</f>
        <v>904800</v>
      </c>
      <c r="N168" s="379">
        <v>12</v>
      </c>
      <c r="O168" s="379">
        <v>1</v>
      </c>
      <c r="P168" s="381">
        <f t="shared" si="103"/>
        <v>10857600</v>
      </c>
      <c r="Q168" s="382">
        <f t="shared" si="104"/>
        <v>10857600</v>
      </c>
      <c r="R168" s="379" t="s">
        <v>16</v>
      </c>
      <c r="S168" s="379"/>
      <c r="T168" s="379"/>
      <c r="U168" s="384"/>
      <c r="V168" s="384"/>
      <c r="W168" s="385"/>
      <c r="X168" s="385"/>
      <c r="Y168" s="385"/>
      <c r="Z168" s="385"/>
      <c r="AA168" s="385"/>
      <c r="AB168" s="385"/>
      <c r="AC168" s="385"/>
      <c r="AD168" s="385"/>
      <c r="AE168" s="385"/>
      <c r="AF168" s="385"/>
      <c r="AG168" s="385"/>
      <c r="AH168" s="385"/>
      <c r="AI168" s="386"/>
      <c r="AJ168" s="387"/>
      <c r="AK168" s="382">
        <v>870000</v>
      </c>
      <c r="AL168" s="382">
        <v>870000</v>
      </c>
      <c r="AM168" s="389">
        <f t="shared" ref="AM168:AT173" si="115">+AL168*1.05</f>
        <v>913500</v>
      </c>
      <c r="AN168" s="389">
        <f t="shared" ref="AN168:AV168" si="116">+AM168</f>
        <v>913500</v>
      </c>
      <c r="AO168" s="389">
        <f t="shared" si="116"/>
        <v>913500</v>
      </c>
      <c r="AP168" s="389">
        <f t="shared" si="116"/>
        <v>913500</v>
      </c>
      <c r="AQ168" s="389">
        <f t="shared" si="116"/>
        <v>913500</v>
      </c>
      <c r="AR168" s="389">
        <f t="shared" si="116"/>
        <v>913500</v>
      </c>
      <c r="AS168" s="389">
        <f t="shared" si="116"/>
        <v>913500</v>
      </c>
      <c r="AT168" s="389">
        <f t="shared" si="116"/>
        <v>913500</v>
      </c>
      <c r="AU168" s="389">
        <f t="shared" si="116"/>
        <v>913500</v>
      </c>
      <c r="AV168" s="389">
        <f t="shared" si="116"/>
        <v>913500</v>
      </c>
    </row>
    <row r="169" spans="1:49" s="215" customFormat="1" ht="13.5" hidden="1" x14ac:dyDescent="0.35">
      <c r="A169" s="377" t="s">
        <v>159</v>
      </c>
      <c r="B169" s="378" t="s">
        <v>325</v>
      </c>
      <c r="C169" s="379"/>
      <c r="D169" s="380" t="s">
        <v>243</v>
      </c>
      <c r="E169" s="381">
        <v>8640000</v>
      </c>
      <c r="F169" s="382">
        <v>4320000</v>
      </c>
      <c r="G169" s="382"/>
      <c r="H169" s="381">
        <f t="shared" si="101"/>
        <v>4320000</v>
      </c>
      <c r="I169" s="381"/>
      <c r="J169" s="379"/>
      <c r="K169" s="379"/>
      <c r="L169" s="383">
        <f t="shared" si="102"/>
        <v>0</v>
      </c>
      <c r="M169" s="388">
        <f>720000*1.04</f>
        <v>748800</v>
      </c>
      <c r="N169" s="379">
        <v>12</v>
      </c>
      <c r="O169" s="379">
        <v>1</v>
      </c>
      <c r="P169" s="381">
        <f t="shared" si="103"/>
        <v>8985600</v>
      </c>
      <c r="Q169" s="382">
        <f t="shared" si="104"/>
        <v>8985600</v>
      </c>
      <c r="R169" s="379" t="s">
        <v>16</v>
      </c>
      <c r="S169" s="379"/>
      <c r="T169" s="379"/>
      <c r="U169" s="384"/>
      <c r="V169" s="384"/>
      <c r="W169" s="385"/>
      <c r="X169" s="385"/>
      <c r="Y169" s="385"/>
      <c r="Z169" s="385"/>
      <c r="AA169" s="385"/>
      <c r="AB169" s="385"/>
      <c r="AC169" s="385"/>
      <c r="AD169" s="385"/>
      <c r="AE169" s="385"/>
      <c r="AF169" s="385"/>
      <c r="AG169" s="385"/>
      <c r="AH169" s="385"/>
      <c r="AI169" s="386"/>
      <c r="AJ169" s="387"/>
      <c r="AK169" s="382">
        <v>720000</v>
      </c>
      <c r="AL169" s="382">
        <v>720000</v>
      </c>
      <c r="AM169" s="389">
        <f t="shared" si="115"/>
        <v>756000</v>
      </c>
      <c r="AN169" s="389">
        <f t="shared" ref="AN169:AV169" si="117">+AM169</f>
        <v>756000</v>
      </c>
      <c r="AO169" s="389">
        <f t="shared" si="117"/>
        <v>756000</v>
      </c>
      <c r="AP169" s="389">
        <f t="shared" si="117"/>
        <v>756000</v>
      </c>
      <c r="AQ169" s="389">
        <f t="shared" si="117"/>
        <v>756000</v>
      </c>
      <c r="AR169" s="389">
        <f t="shared" si="117"/>
        <v>756000</v>
      </c>
      <c r="AS169" s="389">
        <f t="shared" si="117"/>
        <v>756000</v>
      </c>
      <c r="AT169" s="389">
        <f t="shared" si="117"/>
        <v>756000</v>
      </c>
      <c r="AU169" s="389">
        <f t="shared" si="117"/>
        <v>756000</v>
      </c>
      <c r="AV169" s="389">
        <f t="shared" si="117"/>
        <v>756000</v>
      </c>
    </row>
    <row r="170" spans="1:49" s="215" customFormat="1" ht="13.5" hidden="1" x14ac:dyDescent="0.35">
      <c r="A170" s="377" t="s">
        <v>159</v>
      </c>
      <c r="B170" s="378" t="s">
        <v>402</v>
      </c>
      <c r="C170" s="379"/>
      <c r="D170" s="380" t="s">
        <v>243</v>
      </c>
      <c r="E170" s="381">
        <v>8100000</v>
      </c>
      <c r="F170" s="382">
        <v>4050000</v>
      </c>
      <c r="G170" s="382"/>
      <c r="H170" s="381">
        <f t="shared" si="101"/>
        <v>4050000</v>
      </c>
      <c r="I170" s="381"/>
      <c r="J170" s="379"/>
      <c r="K170" s="379"/>
      <c r="L170" s="383">
        <f t="shared" si="102"/>
        <v>0</v>
      </c>
      <c r="M170" s="388">
        <f>675000*1.04</f>
        <v>702000</v>
      </c>
      <c r="N170" s="379">
        <v>12</v>
      </c>
      <c r="O170" s="379">
        <v>1</v>
      </c>
      <c r="P170" s="381">
        <f t="shared" si="103"/>
        <v>8424000</v>
      </c>
      <c r="Q170" s="382">
        <f t="shared" si="104"/>
        <v>8424000</v>
      </c>
      <c r="R170" s="379" t="s">
        <v>16</v>
      </c>
      <c r="S170" s="379"/>
      <c r="T170" s="379"/>
      <c r="U170" s="384"/>
      <c r="V170" s="384"/>
      <c r="W170" s="385"/>
      <c r="X170" s="385"/>
      <c r="Y170" s="385"/>
      <c r="Z170" s="385"/>
      <c r="AA170" s="385"/>
      <c r="AB170" s="385"/>
      <c r="AC170" s="385"/>
      <c r="AD170" s="385"/>
      <c r="AE170" s="385"/>
      <c r="AF170" s="385"/>
      <c r="AG170" s="385"/>
      <c r="AH170" s="385"/>
      <c r="AI170" s="386"/>
      <c r="AJ170" s="387"/>
      <c r="AK170" s="382">
        <v>675000</v>
      </c>
      <c r="AL170" s="382">
        <v>675000</v>
      </c>
      <c r="AM170" s="389">
        <f t="shared" si="115"/>
        <v>708750</v>
      </c>
      <c r="AN170" s="389">
        <f t="shared" ref="AN170:AV170" si="118">+AM170</f>
        <v>708750</v>
      </c>
      <c r="AO170" s="389">
        <f t="shared" si="118"/>
        <v>708750</v>
      </c>
      <c r="AP170" s="389">
        <f t="shared" si="118"/>
        <v>708750</v>
      </c>
      <c r="AQ170" s="389">
        <f t="shared" si="118"/>
        <v>708750</v>
      </c>
      <c r="AR170" s="389">
        <f t="shared" si="118"/>
        <v>708750</v>
      </c>
      <c r="AS170" s="389">
        <f t="shared" si="118"/>
        <v>708750</v>
      </c>
      <c r="AT170" s="389">
        <f t="shared" si="118"/>
        <v>708750</v>
      </c>
      <c r="AU170" s="389">
        <f t="shared" si="118"/>
        <v>708750</v>
      </c>
      <c r="AV170" s="389">
        <f t="shared" si="118"/>
        <v>708750</v>
      </c>
    </row>
    <row r="171" spans="1:49" s="215" customFormat="1" ht="13.5" hidden="1" x14ac:dyDescent="0.35">
      <c r="A171" s="377" t="s">
        <v>159</v>
      </c>
      <c r="B171" s="378" t="s">
        <v>326</v>
      </c>
      <c r="C171" s="379"/>
      <c r="D171" s="380" t="s">
        <v>243</v>
      </c>
      <c r="E171" s="381">
        <v>14100000</v>
      </c>
      <c r="F171" s="382">
        <v>7050000</v>
      </c>
      <c r="G171" s="382"/>
      <c r="H171" s="381">
        <f t="shared" si="101"/>
        <v>7050000</v>
      </c>
      <c r="I171" s="381"/>
      <c r="J171" s="379"/>
      <c r="K171" s="379"/>
      <c r="L171" s="383">
        <f t="shared" si="102"/>
        <v>0</v>
      </c>
      <c r="M171" s="388">
        <f>1175000*4</f>
        <v>4700000</v>
      </c>
      <c r="N171" s="379">
        <v>12</v>
      </c>
      <c r="O171" s="379">
        <v>1</v>
      </c>
      <c r="P171" s="381">
        <f t="shared" si="103"/>
        <v>56400000</v>
      </c>
      <c r="Q171" s="382">
        <f t="shared" si="104"/>
        <v>56400000</v>
      </c>
      <c r="R171" s="379" t="s">
        <v>16</v>
      </c>
      <c r="S171" s="379"/>
      <c r="T171" s="379"/>
      <c r="U171" s="384"/>
      <c r="V171" s="384"/>
      <c r="W171" s="385"/>
      <c r="X171" s="385"/>
      <c r="Y171" s="385"/>
      <c r="Z171" s="385"/>
      <c r="AA171" s="385"/>
      <c r="AB171" s="385"/>
      <c r="AC171" s="385"/>
      <c r="AD171" s="385"/>
      <c r="AE171" s="385"/>
      <c r="AF171" s="385"/>
      <c r="AG171" s="385"/>
      <c r="AH171" s="385"/>
      <c r="AI171" s="386"/>
      <c r="AJ171" s="387"/>
      <c r="AK171" s="382">
        <v>1175000</v>
      </c>
      <c r="AL171" s="382">
        <v>1175000</v>
      </c>
      <c r="AM171" s="389">
        <f t="shared" si="115"/>
        <v>1233750</v>
      </c>
      <c r="AN171" s="389">
        <f t="shared" ref="AN171:AV171" si="119">+AM171</f>
        <v>1233750</v>
      </c>
      <c r="AO171" s="389">
        <f t="shared" si="119"/>
        <v>1233750</v>
      </c>
      <c r="AP171" s="389">
        <f t="shared" si="119"/>
        <v>1233750</v>
      </c>
      <c r="AQ171" s="389">
        <f t="shared" si="119"/>
        <v>1233750</v>
      </c>
      <c r="AR171" s="389">
        <f t="shared" si="119"/>
        <v>1233750</v>
      </c>
      <c r="AS171" s="389">
        <f t="shared" si="119"/>
        <v>1233750</v>
      </c>
      <c r="AT171" s="389">
        <f t="shared" si="119"/>
        <v>1233750</v>
      </c>
      <c r="AU171" s="389">
        <f t="shared" si="119"/>
        <v>1233750</v>
      </c>
      <c r="AV171" s="389">
        <f t="shared" si="119"/>
        <v>1233750</v>
      </c>
    </row>
    <row r="172" spans="1:49" s="215" customFormat="1" ht="13.5" hidden="1" x14ac:dyDescent="0.35">
      <c r="A172" s="377" t="s">
        <v>159</v>
      </c>
      <c r="B172" s="378" t="s">
        <v>403</v>
      </c>
      <c r="C172" s="379"/>
      <c r="D172" s="380" t="s">
        <v>243</v>
      </c>
      <c r="E172" s="381">
        <f>600000+300000</f>
        <v>900000</v>
      </c>
      <c r="F172" s="382">
        <v>400000</v>
      </c>
      <c r="G172" s="382"/>
      <c r="H172" s="381">
        <f t="shared" si="101"/>
        <v>500000</v>
      </c>
      <c r="I172" s="381"/>
      <c r="J172" s="379"/>
      <c r="K172" s="379"/>
      <c r="L172" s="383">
        <f t="shared" si="102"/>
        <v>0</v>
      </c>
      <c r="M172" s="388">
        <v>100000</v>
      </c>
      <c r="N172" s="379">
        <v>12</v>
      </c>
      <c r="O172" s="379">
        <v>1</v>
      </c>
      <c r="P172" s="381">
        <f t="shared" si="103"/>
        <v>1200000</v>
      </c>
      <c r="Q172" s="382">
        <f t="shared" si="104"/>
        <v>1200000</v>
      </c>
      <c r="R172" s="379" t="s">
        <v>16</v>
      </c>
      <c r="S172" s="379"/>
      <c r="T172" s="379"/>
      <c r="U172" s="384"/>
      <c r="V172" s="384"/>
      <c r="W172" s="385"/>
      <c r="X172" s="385"/>
      <c r="Y172" s="385"/>
      <c r="Z172" s="385"/>
      <c r="AA172" s="385"/>
      <c r="AB172" s="385"/>
      <c r="AC172" s="385"/>
      <c r="AD172" s="385"/>
      <c r="AE172" s="385"/>
      <c r="AF172" s="385"/>
      <c r="AG172" s="385"/>
      <c r="AH172" s="385"/>
      <c r="AI172" s="386"/>
      <c r="AJ172" s="387"/>
      <c r="AK172" s="391"/>
      <c r="AL172" s="391"/>
    </row>
    <row r="173" spans="1:49" s="215" customFormat="1" ht="13.5" hidden="1" x14ac:dyDescent="0.35">
      <c r="A173" s="377" t="s">
        <v>159</v>
      </c>
      <c r="B173" s="378" t="s">
        <v>404</v>
      </c>
      <c r="C173" s="379"/>
      <c r="D173" s="380" t="s">
        <v>243</v>
      </c>
      <c r="E173" s="381">
        <v>9000000</v>
      </c>
      <c r="F173" s="382"/>
      <c r="G173" s="382"/>
      <c r="H173" s="381">
        <f t="shared" si="101"/>
        <v>9000000</v>
      </c>
      <c r="I173" s="381"/>
      <c r="J173" s="379"/>
      <c r="K173" s="379"/>
      <c r="L173" s="383">
        <f t="shared" si="102"/>
        <v>0</v>
      </c>
      <c r="M173" s="381">
        <f>750000*1.04</f>
        <v>780000</v>
      </c>
      <c r="N173" s="379">
        <v>12</v>
      </c>
      <c r="O173" s="379">
        <v>1</v>
      </c>
      <c r="P173" s="381">
        <f>+M173*O173*N173</f>
        <v>9360000</v>
      </c>
      <c r="Q173" s="382">
        <f>P173+L173</f>
        <v>9360000</v>
      </c>
      <c r="R173" s="379" t="s">
        <v>16</v>
      </c>
      <c r="S173" s="379"/>
      <c r="T173" s="379"/>
      <c r="U173" s="384">
        <v>45901</v>
      </c>
      <c r="V173" s="384">
        <f>U173+365</f>
        <v>46266</v>
      </c>
      <c r="W173" s="385"/>
      <c r="X173" s="385"/>
      <c r="Y173" s="385"/>
      <c r="Z173" s="385"/>
      <c r="AA173" s="385"/>
      <c r="AB173" s="385"/>
      <c r="AC173" s="385"/>
      <c r="AD173" s="385"/>
      <c r="AE173" s="385"/>
      <c r="AF173" s="385"/>
      <c r="AG173" s="385"/>
      <c r="AH173" s="385"/>
      <c r="AI173" s="386"/>
      <c r="AJ173" s="387"/>
      <c r="AK173" s="382">
        <v>750000</v>
      </c>
      <c r="AL173" s="392">
        <f>+AK173</f>
        <v>750000</v>
      </c>
      <c r="AM173" s="392">
        <f t="shared" ref="AM173:AS173" si="120">+AL173</f>
        <v>750000</v>
      </c>
      <c r="AN173" s="392">
        <f t="shared" si="120"/>
        <v>750000</v>
      </c>
      <c r="AO173" s="392">
        <f t="shared" si="120"/>
        <v>750000</v>
      </c>
      <c r="AP173" s="392">
        <f t="shared" si="120"/>
        <v>750000</v>
      </c>
      <c r="AQ173" s="392">
        <f t="shared" si="120"/>
        <v>750000</v>
      </c>
      <c r="AR173" s="392">
        <f t="shared" si="120"/>
        <v>750000</v>
      </c>
      <c r="AS173" s="392">
        <f t="shared" si="120"/>
        <v>750000</v>
      </c>
      <c r="AT173" s="389">
        <f t="shared" si="115"/>
        <v>787500</v>
      </c>
      <c r="AU173" s="215">
        <f>+AT173</f>
        <v>787500</v>
      </c>
      <c r="AV173" s="215">
        <f>+AU173</f>
        <v>787500</v>
      </c>
    </row>
    <row r="174" spans="1:49" s="215" customFormat="1" ht="13.5" hidden="1" x14ac:dyDescent="0.35">
      <c r="A174" s="377" t="s">
        <v>159</v>
      </c>
      <c r="B174" s="378" t="s">
        <v>327</v>
      </c>
      <c r="C174" s="379"/>
      <c r="D174" s="380" t="s">
        <v>243</v>
      </c>
      <c r="E174" s="381"/>
      <c r="F174" s="382"/>
      <c r="G174" s="382"/>
      <c r="H174" s="381"/>
      <c r="I174" s="381">
        <v>2150000</v>
      </c>
      <c r="J174" s="379">
        <v>12</v>
      </c>
      <c r="K174" s="379">
        <v>1</v>
      </c>
      <c r="L174" s="383">
        <f t="shared" si="102"/>
        <v>25800000</v>
      </c>
      <c r="M174" s="381">
        <f>2150000*1.04</f>
        <v>2236000</v>
      </c>
      <c r="N174" s="379">
        <v>12</v>
      </c>
      <c r="O174" s="379">
        <v>1</v>
      </c>
      <c r="P174" s="381">
        <f>+M174*O174*N174</f>
        <v>26832000</v>
      </c>
      <c r="Q174" s="382">
        <f>P174+L174</f>
        <v>52632000</v>
      </c>
      <c r="R174" s="379" t="s">
        <v>16</v>
      </c>
      <c r="S174" s="379"/>
      <c r="T174" s="379"/>
      <c r="U174" s="384"/>
      <c r="V174" s="384"/>
      <c r="W174" s="385"/>
      <c r="X174" s="385"/>
      <c r="Y174" s="385"/>
      <c r="Z174" s="385"/>
      <c r="AA174" s="385"/>
      <c r="AB174" s="385"/>
      <c r="AC174" s="385"/>
      <c r="AD174" s="385"/>
      <c r="AE174" s="385"/>
      <c r="AF174" s="385"/>
      <c r="AG174" s="385"/>
      <c r="AH174" s="385"/>
      <c r="AI174" s="386"/>
      <c r="AJ174" s="387"/>
      <c r="AK174" s="391"/>
      <c r="AL174" s="381">
        <f t="shared" ref="AL174:AV174" si="121">2150000*1.04</f>
        <v>2236000</v>
      </c>
      <c r="AM174" s="381">
        <f t="shared" si="121"/>
        <v>2236000</v>
      </c>
      <c r="AN174" s="381">
        <f t="shared" si="121"/>
        <v>2236000</v>
      </c>
      <c r="AO174" s="381">
        <f t="shared" si="121"/>
        <v>2236000</v>
      </c>
      <c r="AP174" s="381">
        <f t="shared" si="121"/>
        <v>2236000</v>
      </c>
      <c r="AQ174" s="381">
        <f t="shared" si="121"/>
        <v>2236000</v>
      </c>
      <c r="AR174" s="381">
        <f t="shared" si="121"/>
        <v>2236000</v>
      </c>
      <c r="AS174" s="381">
        <f t="shared" si="121"/>
        <v>2236000</v>
      </c>
      <c r="AT174" s="381">
        <f t="shared" si="121"/>
        <v>2236000</v>
      </c>
      <c r="AU174" s="381">
        <f t="shared" si="121"/>
        <v>2236000</v>
      </c>
      <c r="AV174" s="381">
        <f t="shared" si="121"/>
        <v>2236000</v>
      </c>
    </row>
    <row r="175" spans="1:49" s="215" customFormat="1" ht="13.5" hidden="1" x14ac:dyDescent="0.35">
      <c r="A175" s="377" t="s">
        <v>159</v>
      </c>
      <c r="B175" s="378" t="s">
        <v>455</v>
      </c>
      <c r="C175" s="379"/>
      <c r="D175" s="380" t="s">
        <v>243</v>
      </c>
      <c r="E175" s="381"/>
      <c r="F175" s="382"/>
      <c r="G175" s="382"/>
      <c r="H175" s="381"/>
      <c r="I175" s="381">
        <v>2150000</v>
      </c>
      <c r="J175" s="379">
        <v>12</v>
      </c>
      <c r="K175" s="379">
        <v>1</v>
      </c>
      <c r="L175" s="383">
        <f t="shared" si="102"/>
        <v>25800000</v>
      </c>
      <c r="M175" s="381">
        <f>2150000*1.04</f>
        <v>2236000</v>
      </c>
      <c r="N175" s="379">
        <v>12</v>
      </c>
      <c r="O175" s="379">
        <v>1</v>
      </c>
      <c r="P175" s="381">
        <f>+M175*O175*N175</f>
        <v>26832000</v>
      </c>
      <c r="Q175" s="382">
        <f>P175+L175</f>
        <v>52632000</v>
      </c>
      <c r="R175" s="379" t="s">
        <v>16</v>
      </c>
      <c r="S175" s="379"/>
      <c r="T175" s="379"/>
      <c r="U175" s="384"/>
      <c r="V175" s="384"/>
      <c r="W175" s="385"/>
      <c r="X175" s="385"/>
      <c r="Y175" s="385"/>
      <c r="Z175" s="385"/>
      <c r="AA175" s="385"/>
      <c r="AB175" s="385"/>
      <c r="AC175" s="385"/>
      <c r="AD175" s="385"/>
      <c r="AE175" s="385"/>
      <c r="AF175" s="385"/>
      <c r="AG175" s="385"/>
      <c r="AH175" s="385"/>
      <c r="AI175" s="386"/>
      <c r="AJ175" s="387"/>
      <c r="AK175" s="391"/>
      <c r="AL175" s="391"/>
      <c r="AM175" s="381">
        <f>2000000</f>
        <v>2000000</v>
      </c>
      <c r="AN175" s="381">
        <f t="shared" ref="AN175:AV175" si="122">2000000</f>
        <v>2000000</v>
      </c>
      <c r="AO175" s="381">
        <f t="shared" si="122"/>
        <v>2000000</v>
      </c>
      <c r="AP175" s="381">
        <f t="shared" si="122"/>
        <v>2000000</v>
      </c>
      <c r="AQ175" s="381">
        <f t="shared" si="122"/>
        <v>2000000</v>
      </c>
      <c r="AR175" s="381">
        <f t="shared" si="122"/>
        <v>2000000</v>
      </c>
      <c r="AS175" s="381">
        <f t="shared" si="122"/>
        <v>2000000</v>
      </c>
      <c r="AT175" s="381">
        <f t="shared" si="122"/>
        <v>2000000</v>
      </c>
      <c r="AU175" s="381">
        <f t="shared" si="122"/>
        <v>2000000</v>
      </c>
      <c r="AV175" s="381">
        <f t="shared" si="122"/>
        <v>2000000</v>
      </c>
    </row>
    <row r="176" spans="1:49" s="215" customFormat="1" ht="13.5" hidden="1" x14ac:dyDescent="0.35">
      <c r="A176" s="377" t="s">
        <v>159</v>
      </c>
      <c r="B176" s="378" t="s">
        <v>328</v>
      </c>
      <c r="C176" s="379"/>
      <c r="D176" s="380" t="s">
        <v>243</v>
      </c>
      <c r="E176" s="381"/>
      <c r="F176" s="382"/>
      <c r="G176" s="382"/>
      <c r="H176" s="381"/>
      <c r="I176" s="381">
        <v>750000</v>
      </c>
      <c r="J176" s="379">
        <v>12</v>
      </c>
      <c r="K176" s="379">
        <v>1</v>
      </c>
      <c r="L176" s="383">
        <f t="shared" si="102"/>
        <v>9000000</v>
      </c>
      <c r="M176" s="381">
        <f>750000*1.04</f>
        <v>780000</v>
      </c>
      <c r="N176" s="379">
        <v>12</v>
      </c>
      <c r="O176" s="379">
        <v>1</v>
      </c>
      <c r="P176" s="381">
        <f>+M176*O176*N176</f>
        <v>9360000</v>
      </c>
      <c r="Q176" s="382">
        <f>P176+L176</f>
        <v>18360000</v>
      </c>
      <c r="R176" s="379" t="s">
        <v>16</v>
      </c>
      <c r="S176" s="379"/>
      <c r="T176" s="379"/>
      <c r="U176" s="384"/>
      <c r="V176" s="384"/>
      <c r="W176" s="385"/>
      <c r="X176" s="385"/>
      <c r="Y176" s="385"/>
      <c r="Z176" s="385"/>
      <c r="AA176" s="385"/>
      <c r="AB176" s="385"/>
      <c r="AC176" s="385"/>
      <c r="AD176" s="385"/>
      <c r="AE176" s="385"/>
      <c r="AF176" s="385"/>
      <c r="AG176" s="385"/>
      <c r="AH176" s="385"/>
      <c r="AI176" s="386"/>
      <c r="AJ176" s="387"/>
      <c r="AK176" s="391"/>
      <c r="AL176" s="391"/>
    </row>
    <row r="177" spans="1:81" s="215" customFormat="1" ht="13.5" hidden="1" x14ac:dyDescent="0.35">
      <c r="A177" s="377" t="s">
        <v>159</v>
      </c>
      <c r="B177" s="378" t="s">
        <v>329</v>
      </c>
      <c r="C177" s="379"/>
      <c r="D177" s="380" t="s">
        <v>243</v>
      </c>
      <c r="E177" s="381"/>
      <c r="F177" s="382"/>
      <c r="G177" s="382"/>
      <c r="H177" s="381"/>
      <c r="I177" s="381"/>
      <c r="J177" s="379"/>
      <c r="K177" s="379"/>
      <c r="L177" s="383"/>
      <c r="M177" s="381">
        <v>750000</v>
      </c>
      <c r="N177" s="379">
        <v>12</v>
      </c>
      <c r="O177" s="379">
        <v>1</v>
      </c>
      <c r="P177" s="383">
        <f t="shared" ref="P177:P178" si="123">+M177*O177*N177</f>
        <v>9000000</v>
      </c>
      <c r="Q177" s="382">
        <f t="shared" ref="Q177:Q178" si="124">P177+L177</f>
        <v>9000000</v>
      </c>
      <c r="R177" s="379" t="s">
        <v>16</v>
      </c>
      <c r="S177" s="379"/>
      <c r="T177" s="379"/>
      <c r="U177" s="384">
        <v>45690</v>
      </c>
      <c r="V177" s="384">
        <f>+U177+365</f>
        <v>46055</v>
      </c>
      <c r="W177" s="385"/>
      <c r="X177" s="385"/>
      <c r="Y177" s="385"/>
      <c r="Z177" s="385"/>
      <c r="AA177" s="385"/>
      <c r="AB177" s="385"/>
      <c r="AC177" s="385"/>
      <c r="AD177" s="385"/>
      <c r="AE177" s="385"/>
      <c r="AF177" s="385"/>
      <c r="AG177" s="385"/>
      <c r="AH177" s="385"/>
      <c r="AI177" s="386"/>
      <c r="AJ177" s="387"/>
      <c r="AK177" s="391"/>
      <c r="AL177" s="391"/>
    </row>
    <row r="178" spans="1:81" s="215" customFormat="1" ht="13.5" hidden="1" x14ac:dyDescent="0.35">
      <c r="A178" s="377" t="s">
        <v>159</v>
      </c>
      <c r="B178" s="378" t="s">
        <v>405</v>
      </c>
      <c r="C178" s="379"/>
      <c r="D178" s="380" t="s">
        <v>243</v>
      </c>
      <c r="E178" s="381"/>
      <c r="F178" s="382"/>
      <c r="G178" s="382"/>
      <c r="H178" s="381"/>
      <c r="I178" s="381"/>
      <c r="J178" s="379"/>
      <c r="K178" s="379"/>
      <c r="L178" s="383"/>
      <c r="M178" s="381">
        <v>750000</v>
      </c>
      <c r="N178" s="379">
        <v>12</v>
      </c>
      <c r="O178" s="379">
        <v>1</v>
      </c>
      <c r="P178" s="383">
        <f t="shared" si="123"/>
        <v>9000000</v>
      </c>
      <c r="Q178" s="382">
        <f t="shared" si="124"/>
        <v>9000000</v>
      </c>
      <c r="R178" s="379" t="s">
        <v>16</v>
      </c>
      <c r="S178" s="379"/>
      <c r="T178" s="379"/>
      <c r="U178" s="384">
        <v>45690</v>
      </c>
      <c r="V178" s="384">
        <f>+U178+365</f>
        <v>46055</v>
      </c>
      <c r="W178" s="385"/>
      <c r="X178" s="385"/>
      <c r="Y178" s="385"/>
      <c r="Z178" s="385"/>
      <c r="AA178" s="385"/>
      <c r="AB178" s="385"/>
      <c r="AC178" s="385"/>
      <c r="AD178" s="385"/>
      <c r="AE178" s="385"/>
      <c r="AF178" s="385"/>
      <c r="AG178" s="385"/>
      <c r="AH178" s="385"/>
      <c r="AI178" s="386"/>
      <c r="AJ178" s="387"/>
      <c r="AK178" s="391"/>
      <c r="AL178" s="391"/>
    </row>
    <row r="179" spans="1:81" s="6" customFormat="1" ht="23" x14ac:dyDescent="0.35">
      <c r="A179" s="81"/>
      <c r="B179" s="36" t="s">
        <v>214</v>
      </c>
      <c r="C179" s="1" t="s">
        <v>56</v>
      </c>
      <c r="D179" s="205" t="s">
        <v>102</v>
      </c>
      <c r="E179" s="1"/>
      <c r="F179" s="9">
        <v>0</v>
      </c>
      <c r="G179" s="9"/>
      <c r="H179" s="2">
        <f t="shared" si="101"/>
        <v>0</v>
      </c>
      <c r="I179" s="2">
        <v>15189573</v>
      </c>
      <c r="J179" s="1">
        <v>10</v>
      </c>
      <c r="K179" s="1">
        <v>1</v>
      </c>
      <c r="L179" s="83">
        <f t="shared" si="102"/>
        <v>151895730</v>
      </c>
      <c r="M179" s="28">
        <f>15189573+1000000</f>
        <v>16189573</v>
      </c>
      <c r="N179" s="26">
        <v>1</v>
      </c>
      <c r="O179" s="26">
        <v>12</v>
      </c>
      <c r="P179" s="3">
        <f>+M179*O179*N179</f>
        <v>194274876</v>
      </c>
      <c r="Q179" s="17">
        <f t="shared" si="104"/>
        <v>346170606</v>
      </c>
      <c r="R179" s="1" t="s">
        <v>13</v>
      </c>
      <c r="S179" s="1"/>
      <c r="T179" s="1"/>
      <c r="U179" s="33">
        <v>45352</v>
      </c>
      <c r="V179" s="33">
        <f>U179+365</f>
        <v>45717</v>
      </c>
      <c r="W179" s="12"/>
      <c r="X179" s="12"/>
      <c r="Y179" s="12"/>
      <c r="Z179" s="12"/>
      <c r="AA179" s="12"/>
      <c r="AB179" s="12"/>
      <c r="AC179" s="12"/>
      <c r="AD179" s="12"/>
      <c r="AE179" s="12"/>
      <c r="AF179" s="12"/>
      <c r="AG179" s="12"/>
      <c r="AH179" s="12"/>
      <c r="AI179" s="13"/>
      <c r="AJ179" s="80"/>
      <c r="AK179" s="28">
        <f>15189573+1000000</f>
        <v>16189573</v>
      </c>
      <c r="AL179" s="28">
        <f t="shared" ref="AL179:AV179" si="125">15189573+1000000</f>
        <v>16189573</v>
      </c>
      <c r="AM179" s="28">
        <f t="shared" si="125"/>
        <v>16189573</v>
      </c>
      <c r="AN179" s="28">
        <f t="shared" si="125"/>
        <v>16189573</v>
      </c>
      <c r="AO179" s="28">
        <f t="shared" si="125"/>
        <v>16189573</v>
      </c>
      <c r="AP179" s="28">
        <f t="shared" si="125"/>
        <v>16189573</v>
      </c>
      <c r="AQ179" s="28">
        <f t="shared" si="125"/>
        <v>16189573</v>
      </c>
      <c r="AR179" s="28">
        <f t="shared" si="125"/>
        <v>16189573</v>
      </c>
      <c r="AS179" s="28">
        <f t="shared" si="125"/>
        <v>16189573</v>
      </c>
      <c r="AT179" s="28">
        <f t="shared" si="125"/>
        <v>16189573</v>
      </c>
      <c r="AU179" s="28">
        <f t="shared" si="125"/>
        <v>16189573</v>
      </c>
      <c r="AV179" s="28">
        <f t="shared" si="125"/>
        <v>16189573</v>
      </c>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row>
    <row r="180" spans="1:81" s="155" customFormat="1" ht="17.5" x14ac:dyDescent="0.35">
      <c r="A180" s="144" t="s">
        <v>127</v>
      </c>
      <c r="B180" s="145" t="s">
        <v>103</v>
      </c>
      <c r="C180" s="32"/>
      <c r="D180" s="208"/>
      <c r="E180" s="31">
        <f>SUM(E181:E184)</f>
        <v>54519154</v>
      </c>
      <c r="F180" s="31">
        <v>54892640</v>
      </c>
      <c r="G180" s="31">
        <f>SUM(G181:G184)</f>
        <v>0</v>
      </c>
      <c r="H180" s="31">
        <f>SUM(H181:H184)</f>
        <v>0</v>
      </c>
      <c r="I180" s="147"/>
      <c r="J180" s="32"/>
      <c r="K180" s="148"/>
      <c r="L180" s="31">
        <f>SUM(L181:L184)</f>
        <v>0</v>
      </c>
      <c r="M180" s="122"/>
      <c r="N180" s="158"/>
      <c r="O180" s="88"/>
      <c r="P180" s="31">
        <f>SUM(P181:P184)</f>
        <v>58618632</v>
      </c>
      <c r="Q180" s="31">
        <f>SUM(Q181:Q184)</f>
        <v>58618632</v>
      </c>
      <c r="R180" s="149"/>
      <c r="S180" s="149"/>
      <c r="T180" s="149"/>
      <c r="U180" s="151"/>
      <c r="V180" s="151"/>
      <c r="W180" s="193"/>
      <c r="X180" s="193"/>
      <c r="Y180" s="193"/>
      <c r="Z180" s="193"/>
      <c r="AA180" s="193"/>
      <c r="AB180" s="193"/>
      <c r="AC180" s="193"/>
      <c r="AD180" s="193"/>
      <c r="AE180" s="193"/>
      <c r="AF180" s="193"/>
      <c r="AG180" s="193"/>
      <c r="AH180" s="193"/>
      <c r="AI180" s="152"/>
      <c r="AJ180" s="153"/>
      <c r="AK180" s="31">
        <f>SUM(AK181:AK184)</f>
        <v>0</v>
      </c>
      <c r="AL180" s="31">
        <f t="shared" ref="AL180:AV180" si="126">SUM(AL181:AL184)</f>
        <v>0</v>
      </c>
      <c r="AM180" s="31">
        <f t="shared" si="126"/>
        <v>58618632</v>
      </c>
      <c r="AN180" s="31">
        <f t="shared" si="126"/>
        <v>0</v>
      </c>
      <c r="AO180" s="31">
        <f t="shared" si="126"/>
        <v>0</v>
      </c>
      <c r="AP180" s="31">
        <f t="shared" si="126"/>
        <v>0</v>
      </c>
      <c r="AQ180" s="31">
        <f t="shared" si="126"/>
        <v>0</v>
      </c>
      <c r="AR180" s="31">
        <f t="shared" si="126"/>
        <v>0</v>
      </c>
      <c r="AS180" s="31">
        <f t="shared" si="126"/>
        <v>0</v>
      </c>
      <c r="AT180" s="31">
        <f t="shared" si="126"/>
        <v>0</v>
      </c>
      <c r="AU180" s="31">
        <f t="shared" si="126"/>
        <v>0</v>
      </c>
      <c r="AV180" s="31">
        <f t="shared" si="126"/>
        <v>0</v>
      </c>
    </row>
    <row r="181" spans="1:81" s="6" customFormat="1" ht="20" customHeight="1" x14ac:dyDescent="0.35">
      <c r="A181" s="81"/>
      <c r="B181" s="36" t="s">
        <v>216</v>
      </c>
      <c r="C181" s="157" t="s">
        <v>20</v>
      </c>
      <c r="D181" s="205" t="s">
        <v>60</v>
      </c>
      <c r="E181" s="2">
        <v>1221944</v>
      </c>
      <c r="F181" s="9">
        <v>1221944</v>
      </c>
      <c r="G181" s="9"/>
      <c r="H181" s="2">
        <f t="shared" ref="H181:H184" si="127">+E181-(F181+G181)</f>
        <v>0</v>
      </c>
      <c r="I181" s="2"/>
      <c r="J181" s="1"/>
      <c r="K181" s="1"/>
      <c r="L181" s="3">
        <f t="shared" ref="L181:L187" si="128">+I181*K181*J181</f>
        <v>0</v>
      </c>
      <c r="M181" s="28">
        <v>1300363</v>
      </c>
      <c r="N181" s="26">
        <v>1</v>
      </c>
      <c r="O181" s="26">
        <v>1</v>
      </c>
      <c r="P181" s="3">
        <f t="shared" ref="P181:P187" si="129">+M181*O181*N181</f>
        <v>1300363</v>
      </c>
      <c r="Q181" s="17">
        <f t="shared" ref="Q181:Q187" si="130">P181+L181</f>
        <v>1300363</v>
      </c>
      <c r="R181" s="1" t="s">
        <v>50</v>
      </c>
      <c r="S181" s="1"/>
      <c r="T181" s="1"/>
      <c r="U181" s="33">
        <v>45381</v>
      </c>
      <c r="V181" s="33">
        <f>U181+365*3</f>
        <v>46476</v>
      </c>
      <c r="W181" s="12"/>
      <c r="X181" s="12"/>
      <c r="Y181" s="12"/>
      <c r="Z181" s="12"/>
      <c r="AA181" s="12"/>
      <c r="AB181" s="12"/>
      <c r="AC181" s="12"/>
      <c r="AD181" s="12"/>
      <c r="AE181" s="12"/>
      <c r="AF181" s="12"/>
      <c r="AG181" s="12"/>
      <c r="AH181" s="12"/>
      <c r="AI181" s="13"/>
      <c r="AJ181" s="80"/>
      <c r="AK181" s="5"/>
      <c r="AL181" s="5"/>
      <c r="AM181" s="28">
        <v>1300363</v>
      </c>
      <c r="AN181" s="5"/>
      <c r="AO181" s="5"/>
      <c r="AP181" s="5"/>
      <c r="AQ181" s="5"/>
      <c r="AR181" s="5"/>
      <c r="AS181" s="5"/>
      <c r="AT181" s="5"/>
      <c r="AU181" s="5"/>
      <c r="AV181" s="5"/>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row>
    <row r="182" spans="1:81" s="6" customFormat="1" ht="20" customHeight="1" x14ac:dyDescent="0.35">
      <c r="A182" s="81"/>
      <c r="B182" s="36" t="s">
        <v>217</v>
      </c>
      <c r="C182" s="157" t="s">
        <v>20</v>
      </c>
      <c r="D182" s="205" t="s">
        <v>60</v>
      </c>
      <c r="E182" s="2">
        <v>10506269</v>
      </c>
      <c r="F182" s="9">
        <v>10506269</v>
      </c>
      <c r="G182" s="9"/>
      <c r="H182" s="2">
        <f t="shared" si="127"/>
        <v>0</v>
      </c>
      <c r="I182" s="2"/>
      <c r="J182" s="1"/>
      <c r="K182" s="1"/>
      <c r="L182" s="3">
        <f t="shared" si="128"/>
        <v>0</v>
      </c>
      <c r="M182" s="28">
        <v>13506269</v>
      </c>
      <c r="N182" s="26">
        <v>1</v>
      </c>
      <c r="O182" s="26">
        <v>1</v>
      </c>
      <c r="P182" s="3">
        <f t="shared" si="129"/>
        <v>13506269</v>
      </c>
      <c r="Q182" s="17">
        <f t="shared" si="130"/>
        <v>13506269</v>
      </c>
      <c r="R182" s="1" t="s">
        <v>50</v>
      </c>
      <c r="S182" s="1"/>
      <c r="T182" s="1"/>
      <c r="U182" s="33">
        <v>45382</v>
      </c>
      <c r="V182" s="33">
        <f t="shared" ref="V182:V183" si="131">U182+365*3</f>
        <v>46477</v>
      </c>
      <c r="W182" s="12"/>
      <c r="X182" s="12"/>
      <c r="Y182" s="12"/>
      <c r="Z182" s="12"/>
      <c r="AA182" s="12"/>
      <c r="AB182" s="12"/>
      <c r="AC182" s="12"/>
      <c r="AD182" s="12"/>
      <c r="AE182" s="12"/>
      <c r="AF182" s="12"/>
      <c r="AG182" s="12"/>
      <c r="AH182" s="12"/>
      <c r="AI182" s="13"/>
      <c r="AJ182" s="80"/>
      <c r="AK182" s="5"/>
      <c r="AL182" s="5"/>
      <c r="AM182" s="28">
        <v>13506269</v>
      </c>
      <c r="AN182" s="5"/>
      <c r="AO182" s="5"/>
      <c r="AP182" s="5"/>
      <c r="AQ182" s="5"/>
      <c r="AR182" s="5"/>
      <c r="AS182" s="5"/>
      <c r="AT182" s="5"/>
      <c r="AU182" s="5"/>
      <c r="AV182" s="5"/>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row>
    <row r="183" spans="1:81" s="6" customFormat="1" ht="20" customHeight="1" x14ac:dyDescent="0.35">
      <c r="A183" s="81"/>
      <c r="B183" s="36" t="s">
        <v>218</v>
      </c>
      <c r="C183" s="157" t="s">
        <v>20</v>
      </c>
      <c r="D183" s="205" t="s">
        <v>60</v>
      </c>
      <c r="E183" s="2">
        <f>3034617+116868+6757203+31312000</f>
        <v>41220688</v>
      </c>
      <c r="F183" s="2">
        <f>3034617+116868+6757203+31312000</f>
        <v>41220688</v>
      </c>
      <c r="G183" s="9"/>
      <c r="H183" s="2">
        <f t="shared" si="127"/>
        <v>0</v>
      </c>
      <c r="I183" s="2"/>
      <c r="J183" s="1"/>
      <c r="K183" s="1"/>
      <c r="L183" s="3">
        <f t="shared" si="128"/>
        <v>0</v>
      </c>
      <c r="M183" s="28">
        <f>31312000+1500000*7</f>
        <v>41812000</v>
      </c>
      <c r="N183" s="26">
        <v>1</v>
      </c>
      <c r="O183" s="26">
        <v>1</v>
      </c>
      <c r="P183" s="3">
        <f t="shared" si="129"/>
        <v>41812000</v>
      </c>
      <c r="Q183" s="17">
        <f t="shared" si="130"/>
        <v>41812000</v>
      </c>
      <c r="R183" s="1" t="s">
        <v>50</v>
      </c>
      <c r="S183" s="1"/>
      <c r="T183" s="1"/>
      <c r="U183" s="33">
        <v>45383</v>
      </c>
      <c r="V183" s="33">
        <f t="shared" si="131"/>
        <v>46478</v>
      </c>
      <c r="W183" s="12"/>
      <c r="X183" s="12"/>
      <c r="Y183" s="12"/>
      <c r="Z183" s="12"/>
      <c r="AA183" s="12"/>
      <c r="AB183" s="12"/>
      <c r="AC183" s="12"/>
      <c r="AD183" s="12"/>
      <c r="AE183" s="12"/>
      <c r="AF183" s="12"/>
      <c r="AG183" s="12"/>
      <c r="AH183" s="12"/>
      <c r="AI183" s="13"/>
      <c r="AJ183" s="80"/>
      <c r="AK183" s="5"/>
      <c r="AL183" s="5"/>
      <c r="AM183" s="28">
        <f>31312000+1500000*7</f>
        <v>41812000</v>
      </c>
      <c r="AN183" s="5"/>
      <c r="AO183" s="5"/>
      <c r="AP183" s="5"/>
      <c r="AQ183" s="5"/>
      <c r="AR183" s="5"/>
      <c r="AS183" s="5"/>
      <c r="AT183" s="5"/>
      <c r="AU183" s="5"/>
      <c r="AV183" s="5"/>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row>
    <row r="184" spans="1:81" s="6" customFormat="1" ht="20" customHeight="1" x14ac:dyDescent="0.35">
      <c r="A184" s="81"/>
      <c r="B184" s="36" t="s">
        <v>219</v>
      </c>
      <c r="C184" s="157" t="s">
        <v>20</v>
      </c>
      <c r="D184" s="205" t="s">
        <v>60</v>
      </c>
      <c r="E184" s="2">
        <v>1570253</v>
      </c>
      <c r="F184" s="9">
        <v>1570253</v>
      </c>
      <c r="G184" s="9"/>
      <c r="H184" s="2">
        <f t="shared" si="127"/>
        <v>0</v>
      </c>
      <c r="I184" s="2"/>
      <c r="J184" s="1"/>
      <c r="K184" s="1"/>
      <c r="L184" s="3">
        <f t="shared" si="128"/>
        <v>0</v>
      </c>
      <c r="M184" s="28">
        <v>2000000</v>
      </c>
      <c r="N184" s="26">
        <v>1</v>
      </c>
      <c r="O184" s="26">
        <v>1</v>
      </c>
      <c r="P184" s="3">
        <f t="shared" si="129"/>
        <v>2000000</v>
      </c>
      <c r="Q184" s="17">
        <f t="shared" si="130"/>
        <v>2000000</v>
      </c>
      <c r="R184" s="1" t="s">
        <v>50</v>
      </c>
      <c r="S184" s="1"/>
      <c r="T184" s="1"/>
      <c r="U184" s="33">
        <v>45597</v>
      </c>
      <c r="V184" s="33">
        <f>U184+150</f>
        <v>45747</v>
      </c>
      <c r="W184" s="12"/>
      <c r="X184" s="12"/>
      <c r="Y184" s="12"/>
      <c r="Z184" s="12"/>
      <c r="AA184" s="12"/>
      <c r="AB184" s="12"/>
      <c r="AC184" s="12"/>
      <c r="AD184" s="12"/>
      <c r="AE184" s="12"/>
      <c r="AF184" s="12"/>
      <c r="AG184" s="12"/>
      <c r="AH184" s="12"/>
      <c r="AI184" s="13"/>
      <c r="AJ184" s="80"/>
      <c r="AK184" s="5"/>
      <c r="AL184" s="5"/>
      <c r="AM184" s="28">
        <v>2000000</v>
      </c>
      <c r="AN184" s="5"/>
      <c r="AO184" s="5"/>
      <c r="AP184" s="5"/>
      <c r="AQ184" s="5"/>
      <c r="AR184" s="5"/>
      <c r="AS184" s="5"/>
      <c r="AT184" s="5"/>
      <c r="AU184" s="5"/>
      <c r="AV184" s="5"/>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row>
    <row r="185" spans="1:81" s="155" customFormat="1" ht="17.5" x14ac:dyDescent="0.35">
      <c r="A185" s="144" t="s">
        <v>127</v>
      </c>
      <c r="B185" s="145" t="s">
        <v>276</v>
      </c>
      <c r="C185" s="32"/>
      <c r="D185" s="208"/>
      <c r="E185" s="31"/>
      <c r="F185" s="31"/>
      <c r="G185" s="31"/>
      <c r="H185" s="31"/>
      <c r="I185" s="147"/>
      <c r="J185" s="32"/>
      <c r="K185" s="148"/>
      <c r="L185" s="31">
        <f>+L186+L187</f>
        <v>25790000</v>
      </c>
      <c r="M185" s="122"/>
      <c r="N185" s="158"/>
      <c r="O185" s="88"/>
      <c r="P185" s="31">
        <f>+P186+P187</f>
        <v>50000000</v>
      </c>
      <c r="Q185" s="31">
        <f>+Q186+Q187</f>
        <v>75790000</v>
      </c>
      <c r="R185" s="149"/>
      <c r="S185" s="149"/>
      <c r="T185" s="149"/>
      <c r="U185" s="151"/>
      <c r="V185" s="151"/>
      <c r="W185" s="193"/>
      <c r="X185" s="193"/>
      <c r="Y185" s="193"/>
      <c r="Z185" s="193"/>
      <c r="AA185" s="193"/>
      <c r="AB185" s="193"/>
      <c r="AC185" s="193"/>
      <c r="AD185" s="193"/>
      <c r="AE185" s="193"/>
      <c r="AF185" s="193"/>
      <c r="AG185" s="193"/>
      <c r="AH185" s="193"/>
      <c r="AI185" s="152"/>
      <c r="AJ185" s="153"/>
      <c r="AK185" s="31">
        <f>+AK186+AK187</f>
        <v>0</v>
      </c>
      <c r="AL185" s="31">
        <f t="shared" ref="AL185:AV185" si="132">+AL186+AL187</f>
        <v>0</v>
      </c>
      <c r="AM185" s="31">
        <f t="shared" si="132"/>
        <v>0</v>
      </c>
      <c r="AN185" s="31">
        <f t="shared" si="132"/>
        <v>0</v>
      </c>
      <c r="AO185" s="31">
        <f t="shared" si="132"/>
        <v>0</v>
      </c>
      <c r="AP185" s="31">
        <f t="shared" si="132"/>
        <v>4560000</v>
      </c>
      <c r="AQ185" s="31">
        <f t="shared" si="132"/>
        <v>0</v>
      </c>
      <c r="AR185" s="31">
        <f t="shared" si="132"/>
        <v>0</v>
      </c>
      <c r="AS185" s="31">
        <f t="shared" si="132"/>
        <v>0</v>
      </c>
      <c r="AT185" s="31">
        <f t="shared" si="132"/>
        <v>0</v>
      </c>
      <c r="AU185" s="31">
        <f t="shared" si="132"/>
        <v>4560000</v>
      </c>
      <c r="AV185" s="31">
        <f t="shared" si="132"/>
        <v>0</v>
      </c>
    </row>
    <row r="186" spans="1:81" s="6" customFormat="1" ht="35" customHeight="1" x14ac:dyDescent="0.35">
      <c r="A186" s="81"/>
      <c r="B186" s="36" t="s">
        <v>277</v>
      </c>
      <c r="C186" s="1" t="s">
        <v>335</v>
      </c>
      <c r="D186" s="205" t="s">
        <v>112</v>
      </c>
      <c r="E186" s="2"/>
      <c r="F186" s="9"/>
      <c r="G186" s="9"/>
      <c r="H186" s="2"/>
      <c r="I186" s="2">
        <v>25790000</v>
      </c>
      <c r="J186" s="1">
        <v>1</v>
      </c>
      <c r="K186" s="1">
        <v>1</v>
      </c>
      <c r="L186" s="3">
        <f t="shared" si="128"/>
        <v>25790000</v>
      </c>
      <c r="M186" s="28">
        <v>50000000</v>
      </c>
      <c r="N186" s="26">
        <v>1</v>
      </c>
      <c r="O186" s="26">
        <v>1</v>
      </c>
      <c r="P186" s="3">
        <f t="shared" si="129"/>
        <v>50000000</v>
      </c>
      <c r="Q186" s="17">
        <f t="shared" si="130"/>
        <v>75790000</v>
      </c>
      <c r="R186" s="1" t="s">
        <v>55</v>
      </c>
      <c r="S186" s="1"/>
      <c r="T186" s="1"/>
      <c r="U186" s="33">
        <v>45575</v>
      </c>
      <c r="V186" s="33">
        <f>U186+390</f>
        <v>45965</v>
      </c>
      <c r="W186" s="12"/>
      <c r="X186" s="12"/>
      <c r="Y186" s="12"/>
      <c r="Z186" s="12"/>
      <c r="AA186" s="12"/>
      <c r="AB186" s="12"/>
      <c r="AC186" s="12"/>
      <c r="AD186" s="12"/>
      <c r="AE186" s="12"/>
      <c r="AF186" s="12"/>
      <c r="AG186" s="12"/>
      <c r="AH186" s="12"/>
      <c r="AI186" s="13"/>
      <c r="AJ186" s="80"/>
      <c r="AK186" s="5"/>
      <c r="AL186" s="5"/>
      <c r="AM186" s="5"/>
      <c r="AN186" s="5"/>
      <c r="AO186" s="5"/>
      <c r="AP186" s="5">
        <f>1350000+2160000+1050000</f>
        <v>4560000</v>
      </c>
      <c r="AQ186" s="5"/>
      <c r="AR186" s="5"/>
      <c r="AS186" s="5"/>
      <c r="AT186" s="5"/>
      <c r="AU186" s="5">
        <f>1350000+2160000+1050000</f>
        <v>4560000</v>
      </c>
      <c r="AV186" s="5"/>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row>
    <row r="187" spans="1:81" s="6" customFormat="1" ht="20" customHeight="1" x14ac:dyDescent="0.35">
      <c r="A187" s="81"/>
      <c r="B187" s="36"/>
      <c r="C187" s="1"/>
      <c r="D187" s="205"/>
      <c r="E187" s="2"/>
      <c r="F187" s="9"/>
      <c r="G187" s="9"/>
      <c r="H187" s="2"/>
      <c r="I187" s="2"/>
      <c r="J187" s="1"/>
      <c r="K187" s="1"/>
      <c r="L187" s="3">
        <f t="shared" si="128"/>
        <v>0</v>
      </c>
      <c r="M187" s="28"/>
      <c r="N187" s="26"/>
      <c r="O187" s="26"/>
      <c r="P187" s="3">
        <f t="shared" si="129"/>
        <v>0</v>
      </c>
      <c r="Q187" s="17">
        <f t="shared" si="130"/>
        <v>0</v>
      </c>
      <c r="R187" s="1"/>
      <c r="S187" s="1"/>
      <c r="T187" s="1"/>
      <c r="U187" s="33"/>
      <c r="V187" s="33"/>
      <c r="W187" s="12"/>
      <c r="X187" s="12"/>
      <c r="Y187" s="12"/>
      <c r="Z187" s="12"/>
      <c r="AA187" s="12"/>
      <c r="AB187" s="12"/>
      <c r="AC187" s="12"/>
      <c r="AD187" s="12"/>
      <c r="AE187" s="12"/>
      <c r="AF187" s="12"/>
      <c r="AG187" s="12"/>
      <c r="AH187" s="12"/>
      <c r="AI187" s="13"/>
      <c r="AJ187" s="80"/>
      <c r="AK187" s="5"/>
      <c r="AL187" s="5"/>
      <c r="AM187" s="5"/>
      <c r="AN187" s="5"/>
      <c r="AO187" s="5"/>
      <c r="AP187" s="5"/>
      <c r="AQ187" s="5"/>
      <c r="AR187" s="5"/>
      <c r="AS187" s="5"/>
      <c r="AT187" s="5"/>
      <c r="AU187" s="5"/>
      <c r="AV187" s="5"/>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row>
    <row r="188" spans="1:81" s="155" customFormat="1" ht="17.5" x14ac:dyDescent="0.35">
      <c r="A188" s="144" t="s">
        <v>127</v>
      </c>
      <c r="B188" s="145" t="s">
        <v>61</v>
      </c>
      <c r="C188" s="32"/>
      <c r="D188" s="208"/>
      <c r="E188" s="31">
        <f>SUM(E189:E224)</f>
        <v>248279132</v>
      </c>
      <c r="F188" s="31">
        <f t="shared" ref="F188:H188" si="133">SUM(F189:F224)</f>
        <v>54412977</v>
      </c>
      <c r="G188" s="31">
        <f t="shared" si="133"/>
        <v>32420910</v>
      </c>
      <c r="H188" s="31">
        <f t="shared" si="133"/>
        <v>161445245</v>
      </c>
      <c r="I188" s="147"/>
      <c r="J188" s="32"/>
      <c r="K188" s="148"/>
      <c r="L188" s="31">
        <f>SUM(L189:L224)</f>
        <v>167219820</v>
      </c>
      <c r="M188" s="122"/>
      <c r="N188" s="158"/>
      <c r="O188" s="88"/>
      <c r="P188" s="31">
        <f>SUM(P189:P224)</f>
        <v>305094711.60000002</v>
      </c>
      <c r="Q188" s="31">
        <f>SUM(Q189:Q224)</f>
        <v>472314531.60000002</v>
      </c>
      <c r="R188" s="149"/>
      <c r="S188" s="149"/>
      <c r="T188" s="149"/>
      <c r="U188" s="151"/>
      <c r="V188" s="151"/>
      <c r="W188" s="193"/>
      <c r="X188" s="193"/>
      <c r="Y188" s="193"/>
      <c r="Z188" s="193"/>
      <c r="AA188" s="193"/>
      <c r="AB188" s="193"/>
      <c r="AC188" s="193"/>
      <c r="AD188" s="193"/>
      <c r="AE188" s="193"/>
      <c r="AF188" s="193"/>
      <c r="AG188" s="193"/>
      <c r="AH188" s="193"/>
      <c r="AI188" s="152"/>
      <c r="AJ188" s="153"/>
      <c r="AK188" s="31">
        <f>SUM(AK189:AK224)</f>
        <v>4562178</v>
      </c>
      <c r="AL188" s="31">
        <f t="shared" ref="AL188:AV188" si="134">SUM(AL189:AL224)</f>
        <v>113511088</v>
      </c>
      <c r="AM188" s="31">
        <f t="shared" si="134"/>
        <v>4562178</v>
      </c>
      <c r="AN188" s="31">
        <f t="shared" si="134"/>
        <v>6062178</v>
      </c>
      <c r="AO188" s="31">
        <f t="shared" si="134"/>
        <v>61337178</v>
      </c>
      <c r="AP188" s="31">
        <f t="shared" si="134"/>
        <v>25966088</v>
      </c>
      <c r="AQ188" s="31">
        <f t="shared" si="134"/>
        <v>4562178</v>
      </c>
      <c r="AR188" s="31">
        <f t="shared" si="134"/>
        <v>6087178</v>
      </c>
      <c r="AS188" s="31">
        <f t="shared" si="134"/>
        <v>4562178</v>
      </c>
      <c r="AT188" s="31">
        <f t="shared" si="134"/>
        <v>13486088</v>
      </c>
      <c r="AU188" s="31">
        <f t="shared" si="134"/>
        <v>4587178</v>
      </c>
      <c r="AV188" s="31">
        <f t="shared" si="134"/>
        <v>18542178</v>
      </c>
    </row>
    <row r="189" spans="1:81" s="312" customFormat="1" ht="19.5" customHeight="1" x14ac:dyDescent="0.35">
      <c r="A189" s="313"/>
      <c r="B189" s="314" t="s">
        <v>215</v>
      </c>
      <c r="C189" s="315" t="s">
        <v>20</v>
      </c>
      <c r="D189" s="316" t="s">
        <v>62</v>
      </c>
      <c r="E189" s="310">
        <v>24960000</v>
      </c>
      <c r="F189" s="309">
        <v>12480000</v>
      </c>
      <c r="G189" s="309">
        <v>12480000</v>
      </c>
      <c r="H189" s="310">
        <f t="shared" ref="H189:H224" si="135">+E189-(F189+G189)</f>
        <v>0</v>
      </c>
      <c r="I189" s="310"/>
      <c r="J189" s="317"/>
      <c r="K189" s="317"/>
      <c r="L189" s="299">
        <f t="shared" ref="L189:L199" si="136">+I189*K189*J189</f>
        <v>0</v>
      </c>
      <c r="M189" s="298">
        <v>24960000</v>
      </c>
      <c r="N189" s="295">
        <v>1</v>
      </c>
      <c r="O189" s="295">
        <v>1</v>
      </c>
      <c r="P189" s="299">
        <f t="shared" ref="P189:P224" si="137">+M189*O189*N189</f>
        <v>24960000</v>
      </c>
      <c r="Q189" s="300">
        <f t="shared" ref="Q189:Q224" si="138">P189+L189</f>
        <v>24960000</v>
      </c>
      <c r="R189" s="317" t="s">
        <v>16</v>
      </c>
      <c r="S189" s="317" t="s">
        <v>63</v>
      </c>
      <c r="T189" s="317"/>
      <c r="U189" s="318">
        <v>45717</v>
      </c>
      <c r="V189" s="318">
        <f>U189+365</f>
        <v>46082</v>
      </c>
      <c r="W189" s="319"/>
      <c r="X189" s="319"/>
      <c r="Y189" s="319"/>
      <c r="Z189" s="319"/>
      <c r="AA189" s="319"/>
      <c r="AB189" s="319"/>
      <c r="AC189" s="319"/>
      <c r="AD189" s="319"/>
      <c r="AE189" s="319"/>
      <c r="AF189" s="319"/>
      <c r="AG189" s="319"/>
      <c r="AH189" s="319"/>
      <c r="AI189" s="303"/>
      <c r="AJ189" s="304"/>
      <c r="AK189" s="305"/>
      <c r="AL189" s="305"/>
      <c r="AM189" s="306"/>
      <c r="AN189" s="306"/>
      <c r="AO189" s="306"/>
      <c r="AP189" s="306">
        <v>12480000</v>
      </c>
      <c r="AQ189" s="306"/>
      <c r="AR189" s="306"/>
      <c r="AS189" s="306"/>
      <c r="AT189" s="306"/>
      <c r="AU189" s="306"/>
      <c r="AV189" s="306">
        <v>12480000</v>
      </c>
      <c r="AW189" s="306"/>
      <c r="AX189" s="306"/>
      <c r="AY189" s="306"/>
      <c r="AZ189" s="306"/>
      <c r="BA189" s="306"/>
      <c r="BB189" s="306"/>
      <c r="BC189" s="306"/>
      <c r="BD189" s="306"/>
      <c r="BE189" s="306"/>
      <c r="BF189" s="306"/>
      <c r="BG189" s="306"/>
      <c r="BH189" s="306"/>
      <c r="BI189" s="306"/>
      <c r="BJ189" s="306"/>
      <c r="BK189" s="306"/>
      <c r="BL189" s="306"/>
      <c r="BM189" s="306"/>
      <c r="BN189" s="306"/>
      <c r="BO189" s="306"/>
      <c r="BP189" s="306"/>
      <c r="BQ189" s="306"/>
      <c r="BR189" s="306"/>
      <c r="BS189" s="306"/>
      <c r="BT189" s="306"/>
      <c r="BU189" s="306"/>
      <c r="BV189" s="306"/>
      <c r="BW189" s="306"/>
      <c r="BX189" s="306"/>
      <c r="BY189" s="306"/>
      <c r="BZ189" s="306"/>
      <c r="CA189" s="306"/>
      <c r="CB189" s="306"/>
      <c r="CC189" s="306"/>
    </row>
    <row r="190" spans="1:81" s="312" customFormat="1" ht="64" x14ac:dyDescent="0.35">
      <c r="A190" s="313"/>
      <c r="B190" s="314" t="s">
        <v>406</v>
      </c>
      <c r="C190" s="317" t="s">
        <v>280</v>
      </c>
      <c r="D190" s="316" t="s">
        <v>25</v>
      </c>
      <c r="E190" s="310">
        <f>15767750+250000+450000+400000</f>
        <v>16867750</v>
      </c>
      <c r="F190" s="309">
        <v>0</v>
      </c>
      <c r="G190" s="309"/>
      <c r="H190" s="310">
        <f t="shared" si="135"/>
        <v>16867750</v>
      </c>
      <c r="I190" s="310"/>
      <c r="J190" s="317"/>
      <c r="K190" s="317"/>
      <c r="L190" s="299">
        <f t="shared" si="136"/>
        <v>0</v>
      </c>
      <c r="M190" s="298"/>
      <c r="N190" s="295"/>
      <c r="O190" s="295"/>
      <c r="P190" s="299">
        <f t="shared" si="137"/>
        <v>0</v>
      </c>
      <c r="Q190" s="300">
        <f t="shared" si="138"/>
        <v>0</v>
      </c>
      <c r="R190" s="317" t="s">
        <v>16</v>
      </c>
      <c r="S190" s="317" t="s">
        <v>15</v>
      </c>
      <c r="T190" s="317"/>
      <c r="U190" s="318">
        <v>45427</v>
      </c>
      <c r="V190" s="318">
        <v>45596</v>
      </c>
      <c r="W190" s="319"/>
      <c r="X190" s="319"/>
      <c r="Y190" s="319"/>
      <c r="Z190" s="319"/>
      <c r="AA190" s="319"/>
      <c r="AB190" s="319"/>
      <c r="AC190" s="319"/>
      <c r="AD190" s="319"/>
      <c r="AE190" s="319"/>
      <c r="AF190" s="319"/>
      <c r="AG190" s="319"/>
      <c r="AH190" s="319"/>
      <c r="AI190" s="303"/>
      <c r="AJ190" s="304" t="s">
        <v>244</v>
      </c>
      <c r="AK190" s="305"/>
      <c r="AL190" s="305"/>
      <c r="AM190" s="306"/>
      <c r="AN190" s="306"/>
      <c r="AO190" s="306"/>
      <c r="AP190" s="306"/>
      <c r="AQ190" s="306"/>
      <c r="AR190" s="306"/>
      <c r="AS190" s="306"/>
      <c r="AT190" s="306"/>
      <c r="AU190" s="306"/>
      <c r="AV190" s="306"/>
      <c r="AW190" s="306"/>
      <c r="AX190" s="306"/>
      <c r="AY190" s="306"/>
      <c r="AZ190" s="306"/>
      <c r="BA190" s="306"/>
      <c r="BB190" s="306"/>
      <c r="BC190" s="306"/>
      <c r="BD190" s="306"/>
      <c r="BE190" s="306"/>
      <c r="BF190" s="306"/>
      <c r="BG190" s="306"/>
      <c r="BH190" s="306"/>
      <c r="BI190" s="306"/>
      <c r="BJ190" s="306"/>
      <c r="BK190" s="306"/>
      <c r="BL190" s="306"/>
      <c r="BM190" s="306"/>
      <c r="BN190" s="306"/>
      <c r="BO190" s="306"/>
      <c r="BP190" s="306"/>
      <c r="BQ190" s="306"/>
      <c r="BR190" s="306"/>
      <c r="BS190" s="306"/>
      <c r="BT190" s="306"/>
      <c r="BU190" s="306"/>
      <c r="BV190" s="306"/>
      <c r="BW190" s="306"/>
      <c r="BX190" s="306"/>
      <c r="BY190" s="306"/>
      <c r="BZ190" s="306"/>
      <c r="CA190" s="306"/>
      <c r="CB190" s="306"/>
      <c r="CC190" s="306"/>
    </row>
    <row r="191" spans="1:81" s="312" customFormat="1" ht="25" x14ac:dyDescent="0.35">
      <c r="A191" s="313"/>
      <c r="B191" s="314" t="s">
        <v>407</v>
      </c>
      <c r="C191" s="315" t="s">
        <v>280</v>
      </c>
      <c r="D191" s="316" t="s">
        <v>25</v>
      </c>
      <c r="E191" s="315"/>
      <c r="F191" s="309">
        <v>0</v>
      </c>
      <c r="G191" s="309"/>
      <c r="H191" s="310">
        <f t="shared" si="135"/>
        <v>0</v>
      </c>
      <c r="I191" s="310">
        <v>400000</v>
      </c>
      <c r="J191" s="317">
        <v>3</v>
      </c>
      <c r="K191" s="317">
        <v>1</v>
      </c>
      <c r="L191" s="299">
        <f t="shared" si="136"/>
        <v>1200000</v>
      </c>
      <c r="M191" s="298"/>
      <c r="N191" s="295"/>
      <c r="O191" s="295"/>
      <c r="P191" s="299">
        <f t="shared" si="137"/>
        <v>0</v>
      </c>
      <c r="Q191" s="300">
        <f t="shared" si="138"/>
        <v>1200000</v>
      </c>
      <c r="R191" s="317" t="s">
        <v>16</v>
      </c>
      <c r="S191" s="317" t="s">
        <v>15</v>
      </c>
      <c r="T191" s="317"/>
      <c r="U191" s="318">
        <v>45580</v>
      </c>
      <c r="V191" s="318">
        <f>+U191+30</f>
        <v>45610</v>
      </c>
      <c r="W191" s="319"/>
      <c r="X191" s="319"/>
      <c r="Y191" s="319"/>
      <c r="Z191" s="319"/>
      <c r="AA191" s="319"/>
      <c r="AB191" s="319"/>
      <c r="AC191" s="319"/>
      <c r="AD191" s="319"/>
      <c r="AE191" s="319"/>
      <c r="AF191" s="319"/>
      <c r="AG191" s="319"/>
      <c r="AH191" s="319"/>
      <c r="AI191" s="303"/>
      <c r="AJ191" s="304"/>
      <c r="AK191" s="305"/>
      <c r="AL191" s="305"/>
      <c r="AM191" s="306"/>
      <c r="AN191" s="306"/>
      <c r="AO191" s="306"/>
      <c r="AP191" s="306"/>
      <c r="AQ191" s="306"/>
      <c r="AR191" s="306"/>
      <c r="AS191" s="306"/>
      <c r="AT191" s="306"/>
      <c r="AU191" s="306"/>
      <c r="AV191" s="306"/>
      <c r="AW191" s="306"/>
      <c r="AX191" s="306"/>
      <c r="AY191" s="306"/>
      <c r="AZ191" s="306"/>
      <c r="BA191" s="306"/>
      <c r="BB191" s="306"/>
      <c r="BC191" s="306"/>
      <c r="BD191" s="306"/>
      <c r="BE191" s="306"/>
      <c r="BF191" s="306"/>
      <c r="BG191" s="306"/>
      <c r="BH191" s="306"/>
      <c r="BI191" s="306"/>
      <c r="BJ191" s="306"/>
      <c r="BK191" s="306"/>
      <c r="BL191" s="306"/>
      <c r="BM191" s="306"/>
      <c r="BN191" s="306"/>
      <c r="BO191" s="306"/>
      <c r="BP191" s="306"/>
      <c r="BQ191" s="306"/>
      <c r="BR191" s="306"/>
      <c r="BS191" s="306"/>
      <c r="BT191" s="306"/>
      <c r="BU191" s="306"/>
      <c r="BV191" s="306"/>
      <c r="BW191" s="306"/>
      <c r="BX191" s="306"/>
      <c r="BY191" s="306"/>
      <c r="BZ191" s="306"/>
      <c r="CA191" s="306"/>
      <c r="CB191" s="306"/>
      <c r="CC191" s="306"/>
    </row>
    <row r="192" spans="1:81" s="312" customFormat="1" ht="25" x14ac:dyDescent="0.35">
      <c r="A192" s="313"/>
      <c r="B192" s="314" t="s">
        <v>408</v>
      </c>
      <c r="C192" s="315" t="s">
        <v>280</v>
      </c>
      <c r="D192" s="316" t="s">
        <v>25</v>
      </c>
      <c r="E192" s="315"/>
      <c r="F192" s="309">
        <v>0</v>
      </c>
      <c r="G192" s="309"/>
      <c r="H192" s="310">
        <f t="shared" si="135"/>
        <v>0</v>
      </c>
      <c r="I192" s="310">
        <v>25000</v>
      </c>
      <c r="J192" s="317">
        <v>16</v>
      </c>
      <c r="K192" s="317">
        <v>1</v>
      </c>
      <c r="L192" s="299">
        <f t="shared" si="136"/>
        <v>400000</v>
      </c>
      <c r="M192" s="298"/>
      <c r="N192" s="295"/>
      <c r="O192" s="295"/>
      <c r="P192" s="299">
        <f t="shared" si="137"/>
        <v>0</v>
      </c>
      <c r="Q192" s="300">
        <f t="shared" si="138"/>
        <v>400000</v>
      </c>
      <c r="R192" s="317" t="s">
        <v>16</v>
      </c>
      <c r="S192" s="317" t="s">
        <v>15</v>
      </c>
      <c r="T192" s="317"/>
      <c r="U192" s="318">
        <v>45427</v>
      </c>
      <c r="V192" s="318">
        <f t="shared" ref="V192:V193" si="139">+U192+30</f>
        <v>45457</v>
      </c>
      <c r="W192" s="319"/>
      <c r="X192" s="319"/>
      <c r="Y192" s="319"/>
      <c r="Z192" s="319"/>
      <c r="AA192" s="319"/>
      <c r="AB192" s="319"/>
      <c r="AC192" s="319"/>
      <c r="AD192" s="319"/>
      <c r="AE192" s="319"/>
      <c r="AF192" s="319"/>
      <c r="AG192" s="319"/>
      <c r="AH192" s="319"/>
      <c r="AI192" s="303"/>
      <c r="AJ192" s="304"/>
      <c r="AK192" s="305"/>
      <c r="AL192" s="305"/>
      <c r="AM192" s="306"/>
      <c r="AN192" s="306"/>
      <c r="AO192" s="306"/>
      <c r="AP192" s="306"/>
      <c r="AQ192" s="306"/>
      <c r="AR192" s="306"/>
      <c r="AS192" s="306"/>
      <c r="AT192" s="306"/>
      <c r="AU192" s="306"/>
      <c r="AV192" s="306"/>
      <c r="AW192" s="306"/>
      <c r="AX192" s="306"/>
      <c r="AY192" s="306"/>
      <c r="AZ192" s="306"/>
      <c r="BA192" s="306"/>
      <c r="BB192" s="306"/>
      <c r="BC192" s="306"/>
      <c r="BD192" s="306"/>
      <c r="BE192" s="306"/>
      <c r="BF192" s="306"/>
      <c r="BG192" s="306"/>
      <c r="BH192" s="306"/>
      <c r="BI192" s="306"/>
      <c r="BJ192" s="306"/>
      <c r="BK192" s="306"/>
      <c r="BL192" s="306"/>
      <c r="BM192" s="306"/>
      <c r="BN192" s="306"/>
      <c r="BO192" s="306"/>
      <c r="BP192" s="306"/>
      <c r="BQ192" s="306"/>
      <c r="BR192" s="306"/>
      <c r="BS192" s="306"/>
      <c r="BT192" s="306"/>
      <c r="BU192" s="306"/>
      <c r="BV192" s="306"/>
      <c r="BW192" s="306"/>
      <c r="BX192" s="306"/>
      <c r="BY192" s="306"/>
      <c r="BZ192" s="306"/>
      <c r="CA192" s="306"/>
      <c r="CB192" s="306"/>
      <c r="CC192" s="306"/>
    </row>
    <row r="193" spans="1:81" s="312" customFormat="1" ht="25" x14ac:dyDescent="0.35">
      <c r="A193" s="313"/>
      <c r="B193" s="314" t="s">
        <v>409</v>
      </c>
      <c r="C193" s="315" t="s">
        <v>280</v>
      </c>
      <c r="D193" s="316" t="s">
        <v>25</v>
      </c>
      <c r="E193" s="315"/>
      <c r="F193" s="309">
        <v>0</v>
      </c>
      <c r="G193" s="309"/>
      <c r="H193" s="310">
        <f t="shared" si="135"/>
        <v>0</v>
      </c>
      <c r="I193" s="310">
        <v>7500000</v>
      </c>
      <c r="J193" s="317">
        <v>1</v>
      </c>
      <c r="K193" s="317">
        <v>1</v>
      </c>
      <c r="L193" s="299">
        <f t="shared" si="136"/>
        <v>7500000</v>
      </c>
      <c r="M193" s="298"/>
      <c r="N193" s="295"/>
      <c r="O193" s="295"/>
      <c r="P193" s="299">
        <f t="shared" si="137"/>
        <v>0</v>
      </c>
      <c r="Q193" s="300">
        <f t="shared" si="138"/>
        <v>7500000</v>
      </c>
      <c r="R193" s="317" t="s">
        <v>16</v>
      </c>
      <c r="S193" s="317" t="s">
        <v>15</v>
      </c>
      <c r="T193" s="317"/>
      <c r="U193" s="318">
        <v>45427</v>
      </c>
      <c r="V193" s="318">
        <f t="shared" si="139"/>
        <v>45457</v>
      </c>
      <c r="W193" s="319"/>
      <c r="X193" s="319"/>
      <c r="Y193" s="319"/>
      <c r="Z193" s="319"/>
      <c r="AA193" s="319"/>
      <c r="AB193" s="319"/>
      <c r="AC193" s="319"/>
      <c r="AD193" s="319"/>
      <c r="AE193" s="319"/>
      <c r="AF193" s="319"/>
      <c r="AG193" s="319"/>
      <c r="AH193" s="319"/>
      <c r="AI193" s="303"/>
      <c r="AJ193" s="304"/>
      <c r="AK193" s="305"/>
      <c r="AL193" s="305"/>
      <c r="AM193" s="306"/>
      <c r="AN193" s="306"/>
      <c r="AO193" s="306"/>
      <c r="AP193" s="306"/>
      <c r="AQ193" s="306"/>
      <c r="AR193" s="306"/>
      <c r="AS193" s="306"/>
      <c r="AT193" s="306"/>
      <c r="AU193" s="306"/>
      <c r="AV193" s="306"/>
      <c r="AW193" s="306"/>
      <c r="AX193" s="306"/>
      <c r="AY193" s="306"/>
      <c r="AZ193" s="306"/>
      <c r="BA193" s="306"/>
      <c r="BB193" s="306"/>
      <c r="BC193" s="306"/>
      <c r="BD193" s="306"/>
      <c r="BE193" s="306"/>
      <c r="BF193" s="306"/>
      <c r="BG193" s="306"/>
      <c r="BH193" s="306"/>
      <c r="BI193" s="306"/>
      <c r="BJ193" s="306"/>
      <c r="BK193" s="306"/>
      <c r="BL193" s="306"/>
      <c r="BM193" s="306"/>
      <c r="BN193" s="306"/>
      <c r="BO193" s="306"/>
      <c r="BP193" s="306"/>
      <c r="BQ193" s="306"/>
      <c r="BR193" s="306"/>
      <c r="BS193" s="306"/>
      <c r="BT193" s="306"/>
      <c r="BU193" s="306"/>
      <c r="BV193" s="306"/>
      <c r="BW193" s="306"/>
      <c r="BX193" s="306"/>
      <c r="BY193" s="306"/>
      <c r="BZ193" s="306"/>
      <c r="CA193" s="306"/>
      <c r="CB193" s="306"/>
      <c r="CC193" s="306"/>
    </row>
    <row r="194" spans="1:81" s="6" customFormat="1" ht="25" x14ac:dyDescent="0.35">
      <c r="A194" s="81"/>
      <c r="B194" s="36" t="s">
        <v>410</v>
      </c>
      <c r="C194" s="157" t="s">
        <v>280</v>
      </c>
      <c r="D194" s="205" t="s">
        <v>25</v>
      </c>
      <c r="E194" s="157"/>
      <c r="F194" s="9">
        <v>0</v>
      </c>
      <c r="G194" s="9"/>
      <c r="H194" s="2">
        <f t="shared" si="135"/>
        <v>0</v>
      </c>
      <c r="I194" s="2"/>
      <c r="J194" s="1"/>
      <c r="K194" s="1"/>
      <c r="L194" s="3">
        <f t="shared" si="136"/>
        <v>0</v>
      </c>
      <c r="M194" s="28">
        <v>1500000</v>
      </c>
      <c r="N194" s="26">
        <v>1</v>
      </c>
      <c r="O194" s="26">
        <v>1</v>
      </c>
      <c r="P194" s="3">
        <f t="shared" si="137"/>
        <v>1500000</v>
      </c>
      <c r="Q194" s="17">
        <f t="shared" si="138"/>
        <v>1500000</v>
      </c>
      <c r="R194" s="1" t="s">
        <v>16</v>
      </c>
      <c r="S194" s="1" t="s">
        <v>15</v>
      </c>
      <c r="T194" s="1"/>
      <c r="U194" s="33">
        <v>45672</v>
      </c>
      <c r="V194" s="33">
        <f>+U194+120</f>
        <v>45792</v>
      </c>
      <c r="W194" s="12"/>
      <c r="X194" s="12"/>
      <c r="Y194" s="12"/>
      <c r="Z194" s="12"/>
      <c r="AA194" s="12"/>
      <c r="AB194" s="12"/>
      <c r="AC194" s="12"/>
      <c r="AD194" s="12"/>
      <c r="AE194" s="12"/>
      <c r="AF194" s="12"/>
      <c r="AG194" s="12"/>
      <c r="AH194" s="12"/>
      <c r="AI194" s="13"/>
      <c r="AJ194" s="80"/>
      <c r="AK194" s="5"/>
      <c r="AL194" s="5"/>
      <c r="AM194" s="4"/>
      <c r="AN194" s="4"/>
      <c r="AO194" s="28">
        <v>1500000</v>
      </c>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row>
    <row r="195" spans="1:81" s="6" customFormat="1" ht="32" x14ac:dyDescent="0.35">
      <c r="A195" s="81"/>
      <c r="B195" s="36" t="s">
        <v>411</v>
      </c>
      <c r="C195" s="157" t="s">
        <v>280</v>
      </c>
      <c r="D195" s="205" t="s">
        <v>25</v>
      </c>
      <c r="E195" s="157"/>
      <c r="F195" s="9">
        <v>0</v>
      </c>
      <c r="G195" s="9"/>
      <c r="H195" s="2">
        <f t="shared" si="135"/>
        <v>0</v>
      </c>
      <c r="I195" s="2">
        <f>3*100000+3*300000</f>
        <v>1200000</v>
      </c>
      <c r="J195" s="1">
        <v>1</v>
      </c>
      <c r="K195" s="1">
        <v>1</v>
      </c>
      <c r="L195" s="3">
        <f t="shared" si="136"/>
        <v>1200000</v>
      </c>
      <c r="M195" s="28"/>
      <c r="N195" s="26"/>
      <c r="O195" s="26"/>
      <c r="P195" s="3">
        <f t="shared" si="137"/>
        <v>0</v>
      </c>
      <c r="Q195" s="17">
        <f t="shared" si="138"/>
        <v>1200000</v>
      </c>
      <c r="R195" s="1" t="s">
        <v>16</v>
      </c>
      <c r="S195" s="1" t="s">
        <v>15</v>
      </c>
      <c r="T195" s="1"/>
      <c r="U195" s="33">
        <v>45427</v>
      </c>
      <c r="V195" s="33">
        <v>45596</v>
      </c>
      <c r="W195" s="12"/>
      <c r="X195" s="12"/>
      <c r="Y195" s="12"/>
      <c r="Z195" s="12"/>
      <c r="AA195" s="12"/>
      <c r="AB195" s="12"/>
      <c r="AC195" s="12"/>
      <c r="AD195" s="12"/>
      <c r="AE195" s="12"/>
      <c r="AF195" s="12"/>
      <c r="AG195" s="12"/>
      <c r="AH195" s="12"/>
      <c r="AI195" s="13"/>
      <c r="AJ195" s="80"/>
      <c r="AK195" s="5"/>
      <c r="AL195" s="5"/>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row>
    <row r="196" spans="1:81" s="312" customFormat="1" ht="48" x14ac:dyDescent="0.35">
      <c r="A196" s="313"/>
      <c r="B196" s="314" t="s">
        <v>412</v>
      </c>
      <c r="C196" s="315" t="s">
        <v>280</v>
      </c>
      <c r="D196" s="316" t="s">
        <v>25</v>
      </c>
      <c r="E196" s="320">
        <f>472000+22315275+10035900+2365900+2479475*2</f>
        <v>40148025</v>
      </c>
      <c r="F196" s="309">
        <v>472000</v>
      </c>
      <c r="G196" s="309"/>
      <c r="H196" s="310">
        <f t="shared" si="135"/>
        <v>39676025</v>
      </c>
      <c r="I196" s="310"/>
      <c r="J196" s="317"/>
      <c r="K196" s="317"/>
      <c r="L196" s="299">
        <f t="shared" si="136"/>
        <v>0</v>
      </c>
      <c r="M196" s="298">
        <f>3*2479475+1254488*2</f>
        <v>9947401</v>
      </c>
      <c r="N196" s="295">
        <v>1</v>
      </c>
      <c r="O196" s="295">
        <v>1</v>
      </c>
      <c r="P196" s="299">
        <f t="shared" si="137"/>
        <v>9947401</v>
      </c>
      <c r="Q196" s="300">
        <f t="shared" si="138"/>
        <v>9947401</v>
      </c>
      <c r="R196" s="317" t="s">
        <v>16</v>
      </c>
      <c r="S196" s="317" t="s">
        <v>15</v>
      </c>
      <c r="T196" s="317"/>
      <c r="U196" s="318">
        <v>45792</v>
      </c>
      <c r="V196" s="318">
        <f>+U196+140</f>
        <v>45932</v>
      </c>
      <c r="W196" s="319"/>
      <c r="X196" s="319"/>
      <c r="Y196" s="319"/>
      <c r="Z196" s="319"/>
      <c r="AA196" s="319"/>
      <c r="AB196" s="319"/>
      <c r="AC196" s="319"/>
      <c r="AD196" s="319"/>
      <c r="AE196" s="319"/>
      <c r="AF196" s="319"/>
      <c r="AG196" s="319"/>
      <c r="AH196" s="319"/>
      <c r="AI196" s="303"/>
      <c r="AJ196" s="304"/>
      <c r="AK196" s="305"/>
      <c r="AL196" s="305"/>
      <c r="AM196" s="306"/>
      <c r="AN196" s="306"/>
      <c r="AO196" s="306"/>
      <c r="AP196" s="306"/>
      <c r="AQ196" s="306"/>
      <c r="AR196" s="306"/>
      <c r="AS196" s="306"/>
      <c r="AT196" s="306"/>
      <c r="AU196" s="306"/>
      <c r="AV196" s="306"/>
      <c r="AW196" s="306"/>
      <c r="AX196" s="306"/>
      <c r="AY196" s="306"/>
      <c r="AZ196" s="306"/>
      <c r="BA196" s="306"/>
      <c r="BB196" s="306"/>
      <c r="BC196" s="306"/>
      <c r="BD196" s="306"/>
      <c r="BE196" s="306"/>
      <c r="BF196" s="306"/>
      <c r="BG196" s="306"/>
      <c r="BH196" s="306"/>
      <c r="BI196" s="306"/>
      <c r="BJ196" s="306"/>
      <c r="BK196" s="306"/>
      <c r="BL196" s="306"/>
      <c r="BM196" s="306"/>
      <c r="BN196" s="306"/>
      <c r="BO196" s="306"/>
      <c r="BP196" s="306"/>
      <c r="BQ196" s="306"/>
      <c r="BR196" s="306"/>
      <c r="BS196" s="306"/>
      <c r="BT196" s="306"/>
      <c r="BU196" s="306"/>
      <c r="BV196" s="306"/>
      <c r="BW196" s="306"/>
      <c r="BX196" s="306"/>
      <c r="BY196" s="306"/>
      <c r="BZ196" s="306"/>
      <c r="CA196" s="306"/>
      <c r="CB196" s="306"/>
      <c r="CC196" s="306"/>
    </row>
    <row r="197" spans="1:81" s="6" customFormat="1" ht="25" x14ac:dyDescent="0.35">
      <c r="A197" s="81"/>
      <c r="B197" s="36" t="s">
        <v>413</v>
      </c>
      <c r="C197" s="157" t="s">
        <v>64</v>
      </c>
      <c r="D197" s="205" t="s">
        <v>89</v>
      </c>
      <c r="E197" s="157"/>
      <c r="F197" s="9">
        <v>0</v>
      </c>
      <c r="G197" s="9"/>
      <c r="H197" s="2">
        <f t="shared" si="135"/>
        <v>0</v>
      </c>
      <c r="I197" s="2">
        <f>21417000*(2/5)</f>
        <v>8566800</v>
      </c>
      <c r="J197" s="1">
        <v>1</v>
      </c>
      <c r="K197" s="1">
        <v>1</v>
      </c>
      <c r="L197" s="3">
        <f t="shared" si="136"/>
        <v>8566800</v>
      </c>
      <c r="M197" s="28">
        <f>21417000*(2/5)</f>
        <v>8566800</v>
      </c>
      <c r="N197" s="26">
        <v>1</v>
      </c>
      <c r="O197" s="26">
        <v>1</v>
      </c>
      <c r="P197" s="3">
        <f t="shared" si="137"/>
        <v>8566800</v>
      </c>
      <c r="Q197" s="17">
        <f t="shared" si="138"/>
        <v>17133600</v>
      </c>
      <c r="R197" s="1" t="s">
        <v>16</v>
      </c>
      <c r="S197" s="1" t="s">
        <v>15</v>
      </c>
      <c r="T197" s="1"/>
      <c r="U197" s="33">
        <v>45580</v>
      </c>
      <c r="V197" s="33">
        <v>45869</v>
      </c>
      <c r="W197" s="12"/>
      <c r="X197" s="12"/>
      <c r="Y197" s="12"/>
      <c r="Z197" s="12"/>
      <c r="AA197" s="12"/>
      <c r="AB197" s="12"/>
      <c r="AC197" s="12"/>
      <c r="AD197" s="12"/>
      <c r="AE197" s="12"/>
      <c r="AF197" s="12"/>
      <c r="AG197" s="12"/>
      <c r="AH197" s="12"/>
      <c r="AI197" s="13"/>
      <c r="AJ197" s="80"/>
      <c r="AK197" s="5"/>
      <c r="AL197" s="5"/>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row>
    <row r="198" spans="1:81" s="6" customFormat="1" ht="25" x14ac:dyDescent="0.35">
      <c r="A198" s="81"/>
      <c r="B198" s="36" t="s">
        <v>414</v>
      </c>
      <c r="C198" s="157" t="s">
        <v>64</v>
      </c>
      <c r="D198" s="205" t="s">
        <v>89</v>
      </c>
      <c r="E198" s="157"/>
      <c r="F198" s="9">
        <v>0</v>
      </c>
      <c r="G198" s="9"/>
      <c r="H198" s="2">
        <f t="shared" si="135"/>
        <v>0</v>
      </c>
      <c r="I198" s="2">
        <f>21417000*(3/5)</f>
        <v>12850200</v>
      </c>
      <c r="J198" s="1">
        <v>1</v>
      </c>
      <c r="K198" s="1">
        <v>1</v>
      </c>
      <c r="L198" s="3">
        <f t="shared" si="136"/>
        <v>12850200</v>
      </c>
      <c r="M198" s="28">
        <f>15000000</f>
        <v>15000000</v>
      </c>
      <c r="N198" s="26">
        <v>1</v>
      </c>
      <c r="O198" s="26">
        <v>1</v>
      </c>
      <c r="P198" s="3">
        <f t="shared" si="137"/>
        <v>15000000</v>
      </c>
      <c r="Q198" s="17">
        <f t="shared" si="138"/>
        <v>27850200</v>
      </c>
      <c r="R198" s="1" t="s">
        <v>16</v>
      </c>
      <c r="S198" s="1" t="s">
        <v>15</v>
      </c>
      <c r="T198" s="1"/>
      <c r="U198" s="33">
        <v>45580</v>
      </c>
      <c r="V198" s="33">
        <v>45869</v>
      </c>
      <c r="W198" s="12"/>
      <c r="X198" s="12"/>
      <c r="Y198" s="12"/>
      <c r="Z198" s="12"/>
      <c r="AA198" s="12"/>
      <c r="AB198" s="12"/>
      <c r="AC198" s="12"/>
      <c r="AD198" s="12"/>
      <c r="AE198" s="12"/>
      <c r="AF198" s="12"/>
      <c r="AG198" s="12"/>
      <c r="AH198" s="12"/>
      <c r="AI198" s="13"/>
      <c r="AJ198" s="80"/>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row>
    <row r="199" spans="1:81" s="6" customFormat="1" ht="25" x14ac:dyDescent="0.35">
      <c r="A199" s="81"/>
      <c r="B199" s="36" t="s">
        <v>220</v>
      </c>
      <c r="C199" s="157" t="s">
        <v>64</v>
      </c>
      <c r="D199" s="205" t="s">
        <v>65</v>
      </c>
      <c r="E199" s="2">
        <f>500000+662072</f>
        <v>1162072</v>
      </c>
      <c r="F199" s="9">
        <v>832072</v>
      </c>
      <c r="G199" s="9"/>
      <c r="H199" s="2">
        <f t="shared" si="135"/>
        <v>330000</v>
      </c>
      <c r="I199" s="2">
        <v>85000</v>
      </c>
      <c r="J199" s="1">
        <v>1</v>
      </c>
      <c r="K199" s="1">
        <v>5</v>
      </c>
      <c r="L199" s="3">
        <f t="shared" si="136"/>
        <v>425000</v>
      </c>
      <c r="M199" s="28">
        <v>85000</v>
      </c>
      <c r="N199" s="26">
        <v>1</v>
      </c>
      <c r="O199" s="26">
        <v>12</v>
      </c>
      <c r="P199" s="3">
        <f t="shared" si="137"/>
        <v>1020000</v>
      </c>
      <c r="Q199" s="17">
        <f t="shared" si="138"/>
        <v>1445000</v>
      </c>
      <c r="R199" s="1" t="s">
        <v>13</v>
      </c>
      <c r="S199" s="1" t="s">
        <v>15</v>
      </c>
      <c r="T199" s="1"/>
      <c r="U199" s="33">
        <v>45352</v>
      </c>
      <c r="V199" s="33">
        <v>46022</v>
      </c>
      <c r="W199" s="12"/>
      <c r="X199" s="12"/>
      <c r="Y199" s="12"/>
      <c r="Z199" s="12"/>
      <c r="AA199" s="12"/>
      <c r="AB199" s="12"/>
      <c r="AC199" s="12"/>
      <c r="AD199" s="12"/>
      <c r="AE199" s="12"/>
      <c r="AF199" s="12"/>
      <c r="AG199" s="12"/>
      <c r="AH199" s="12"/>
      <c r="AI199" s="13"/>
      <c r="AJ199" s="80"/>
      <c r="AK199" s="28">
        <v>85000</v>
      </c>
      <c r="AL199" s="28">
        <v>85000</v>
      </c>
      <c r="AM199" s="28">
        <v>85000</v>
      </c>
      <c r="AN199" s="28">
        <v>85000</v>
      </c>
      <c r="AO199" s="28">
        <v>85000</v>
      </c>
      <c r="AP199" s="28">
        <v>85000</v>
      </c>
      <c r="AQ199" s="28">
        <v>85000</v>
      </c>
      <c r="AR199" s="28">
        <v>85000</v>
      </c>
      <c r="AS199" s="28">
        <v>85000</v>
      </c>
      <c r="AT199" s="28">
        <v>85000</v>
      </c>
      <c r="AU199" s="28">
        <v>85000</v>
      </c>
      <c r="AV199" s="28">
        <v>85000</v>
      </c>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row>
    <row r="200" spans="1:81" s="6" customFormat="1" ht="23" x14ac:dyDescent="0.35">
      <c r="A200" s="81"/>
      <c r="B200" s="36" t="s">
        <v>221</v>
      </c>
      <c r="C200" s="1" t="s">
        <v>20</v>
      </c>
      <c r="D200" s="205" t="s">
        <v>67</v>
      </c>
      <c r="E200" s="157">
        <f>251028+253000</f>
        <v>504028</v>
      </c>
      <c r="F200" s="9">
        <v>504028</v>
      </c>
      <c r="G200" s="9"/>
      <c r="H200" s="2">
        <f t="shared" si="135"/>
        <v>0</v>
      </c>
      <c r="I200" s="2">
        <v>130000</v>
      </c>
      <c r="J200" s="1">
        <v>1</v>
      </c>
      <c r="K200" s="1">
        <v>6</v>
      </c>
      <c r="L200" s="3">
        <f>+I200*K200*J200</f>
        <v>780000</v>
      </c>
      <c r="M200" s="28">
        <v>130000</v>
      </c>
      <c r="N200" s="26">
        <v>1</v>
      </c>
      <c r="O200" s="26">
        <v>12</v>
      </c>
      <c r="P200" s="3">
        <f>+M200*O200*N200</f>
        <v>1560000</v>
      </c>
      <c r="Q200" s="17">
        <f t="shared" si="138"/>
        <v>2340000</v>
      </c>
      <c r="R200" s="1" t="s">
        <v>13</v>
      </c>
      <c r="S200" s="1"/>
      <c r="T200" s="1"/>
      <c r="U200" s="33">
        <v>45352</v>
      </c>
      <c r="V200" s="33">
        <v>46022</v>
      </c>
      <c r="W200" s="12"/>
      <c r="X200" s="12"/>
      <c r="Y200" s="12"/>
      <c r="Z200" s="12"/>
      <c r="AA200" s="12"/>
      <c r="AB200" s="12"/>
      <c r="AC200" s="12"/>
      <c r="AD200" s="12"/>
      <c r="AE200" s="12"/>
      <c r="AF200" s="12"/>
      <c r="AG200" s="12"/>
      <c r="AH200" s="12"/>
      <c r="AI200" s="13"/>
      <c r="AJ200" s="80"/>
      <c r="AK200" s="5"/>
      <c r="AL200" s="5"/>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row>
    <row r="201" spans="1:81" s="6" customFormat="1" ht="32.65" customHeight="1" x14ac:dyDescent="0.35">
      <c r="A201" s="81"/>
      <c r="B201" s="36" t="s">
        <v>415</v>
      </c>
      <c r="C201" s="157" t="s">
        <v>64</v>
      </c>
      <c r="D201" s="205" t="s">
        <v>104</v>
      </c>
      <c r="E201" s="2">
        <v>52000000</v>
      </c>
      <c r="F201" s="9">
        <v>15075000</v>
      </c>
      <c r="G201" s="9"/>
      <c r="H201" s="2">
        <f t="shared" si="135"/>
        <v>36925000</v>
      </c>
      <c r="I201" s="2"/>
      <c r="J201" s="1"/>
      <c r="K201" s="1"/>
      <c r="L201" s="3">
        <f t="shared" ref="L201:L224" si="140">+I201*K201*J201</f>
        <v>0</v>
      </c>
      <c r="M201" s="28">
        <v>52000000</v>
      </c>
      <c r="N201" s="26">
        <v>1</v>
      </c>
      <c r="O201" s="26">
        <v>1</v>
      </c>
      <c r="P201" s="3">
        <f t="shared" si="137"/>
        <v>52000000</v>
      </c>
      <c r="Q201" s="17">
        <f t="shared" si="138"/>
        <v>52000000</v>
      </c>
      <c r="R201" s="1" t="s">
        <v>13</v>
      </c>
      <c r="S201" s="1" t="s">
        <v>15</v>
      </c>
      <c r="T201" s="1"/>
      <c r="U201" s="33">
        <v>45748</v>
      </c>
      <c r="V201" s="33">
        <v>46022</v>
      </c>
      <c r="W201" s="12"/>
      <c r="X201" s="12"/>
      <c r="Y201" s="12"/>
      <c r="Z201" s="12"/>
      <c r="AA201" s="12"/>
      <c r="AB201" s="12"/>
      <c r="AC201" s="12"/>
      <c r="AD201" s="12"/>
      <c r="AE201" s="12"/>
      <c r="AF201" s="12"/>
      <c r="AG201" s="12"/>
      <c r="AH201" s="12"/>
      <c r="AI201" s="13"/>
      <c r="AJ201" s="80"/>
      <c r="AK201" s="5"/>
      <c r="AL201" s="5"/>
      <c r="AM201" s="4"/>
      <c r="AN201" s="4"/>
      <c r="AO201" s="28">
        <v>52000000</v>
      </c>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row>
    <row r="202" spans="1:81" s="6" customFormat="1" ht="32" x14ac:dyDescent="0.35">
      <c r="A202" s="81"/>
      <c r="B202" s="36" t="s">
        <v>416</v>
      </c>
      <c r="C202" s="157" t="s">
        <v>280</v>
      </c>
      <c r="D202" s="205" t="s">
        <v>66</v>
      </c>
      <c r="E202" s="157"/>
      <c r="F202" s="9">
        <v>0</v>
      </c>
      <c r="G202" s="9"/>
      <c r="H202" s="2">
        <f t="shared" si="135"/>
        <v>0</v>
      </c>
      <c r="I202" s="2">
        <v>50000000</v>
      </c>
      <c r="J202" s="1">
        <v>2</v>
      </c>
      <c r="K202" s="1">
        <v>1</v>
      </c>
      <c r="L202" s="3">
        <f t="shared" si="140"/>
        <v>100000000</v>
      </c>
      <c r="M202" s="28"/>
      <c r="N202" s="26"/>
      <c r="O202" s="26"/>
      <c r="P202" s="3">
        <f t="shared" si="137"/>
        <v>0</v>
      </c>
      <c r="Q202" s="17">
        <f t="shared" si="138"/>
        <v>100000000</v>
      </c>
      <c r="R202" s="1" t="s">
        <v>16</v>
      </c>
      <c r="S202" s="1" t="s">
        <v>17</v>
      </c>
      <c r="T202" s="1"/>
      <c r="U202" s="33">
        <v>45580</v>
      </c>
      <c r="V202" s="33">
        <v>45657</v>
      </c>
      <c r="W202" s="12"/>
      <c r="X202" s="12"/>
      <c r="Y202" s="12"/>
      <c r="Z202" s="12"/>
      <c r="AA202" s="12"/>
      <c r="AB202" s="12"/>
      <c r="AC202" s="12"/>
      <c r="AD202" s="12"/>
      <c r="AE202" s="12"/>
      <c r="AF202" s="12"/>
      <c r="AG202" s="12"/>
      <c r="AH202" s="12"/>
      <c r="AI202" s="13"/>
      <c r="AJ202" s="80"/>
      <c r="AK202" s="5"/>
      <c r="AL202" s="330">
        <f>+L202</f>
        <v>100000000</v>
      </c>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row>
    <row r="203" spans="1:81" s="6" customFormat="1" ht="25" x14ac:dyDescent="0.35">
      <c r="A203" s="81"/>
      <c r="B203" s="36" t="s">
        <v>417</v>
      </c>
      <c r="C203" s="157" t="s">
        <v>20</v>
      </c>
      <c r="D203" s="205" t="s">
        <v>67</v>
      </c>
      <c r="E203" s="2">
        <f>536950+265666+812853+428855</f>
        <v>2044324</v>
      </c>
      <c r="F203" s="9">
        <v>802616</v>
      </c>
      <c r="G203" s="9">
        <f>812853+428855</f>
        <v>1241708</v>
      </c>
      <c r="H203" s="2">
        <f t="shared" si="135"/>
        <v>0</v>
      </c>
      <c r="I203" s="2">
        <v>1500000</v>
      </c>
      <c r="J203" s="1">
        <v>1</v>
      </c>
      <c r="K203" s="1">
        <v>4</v>
      </c>
      <c r="L203" s="3">
        <f t="shared" si="140"/>
        <v>6000000</v>
      </c>
      <c r="M203" s="28">
        <v>1500000</v>
      </c>
      <c r="N203" s="26">
        <v>1</v>
      </c>
      <c r="O203" s="26">
        <v>12</v>
      </c>
      <c r="P203" s="3">
        <f t="shared" si="137"/>
        <v>18000000</v>
      </c>
      <c r="Q203" s="17">
        <f t="shared" si="138"/>
        <v>24000000</v>
      </c>
      <c r="R203" s="1" t="s">
        <v>13</v>
      </c>
      <c r="S203" s="1" t="s">
        <v>15</v>
      </c>
      <c r="T203" s="1"/>
      <c r="U203" s="33">
        <v>45566</v>
      </c>
      <c r="V203" s="33">
        <v>46022</v>
      </c>
      <c r="W203" s="12"/>
      <c r="X203" s="12"/>
      <c r="Y203" s="12"/>
      <c r="Z203" s="12"/>
      <c r="AA203" s="12"/>
      <c r="AB203" s="12"/>
      <c r="AC203" s="12"/>
      <c r="AD203" s="12"/>
      <c r="AE203" s="12"/>
      <c r="AF203" s="12"/>
      <c r="AG203" s="12"/>
      <c r="AH203" s="12"/>
      <c r="AI203" s="13"/>
      <c r="AJ203" s="80"/>
      <c r="AK203" s="5"/>
      <c r="AL203" s="28">
        <v>1500000</v>
      </c>
      <c r="AM203" s="4"/>
      <c r="AN203" s="28">
        <v>1500000</v>
      </c>
      <c r="AO203" s="4"/>
      <c r="AP203" s="28">
        <v>1500000</v>
      </c>
      <c r="AQ203" s="4"/>
      <c r="AR203" s="28">
        <v>1500000</v>
      </c>
      <c r="AS203" s="4"/>
      <c r="AT203" s="28">
        <v>1500000</v>
      </c>
      <c r="AU203" s="4"/>
      <c r="AV203" s="28">
        <v>1500000</v>
      </c>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row>
    <row r="204" spans="1:81" s="312" customFormat="1" ht="32" x14ac:dyDescent="0.35">
      <c r="A204" s="313"/>
      <c r="B204" s="314" t="s">
        <v>418</v>
      </c>
      <c r="C204" s="315" t="s">
        <v>280</v>
      </c>
      <c r="D204" s="316" t="s">
        <v>37</v>
      </c>
      <c r="E204" s="320">
        <v>29881017</v>
      </c>
      <c r="F204" s="309">
        <v>0</v>
      </c>
      <c r="G204" s="309"/>
      <c r="H204" s="310">
        <f t="shared" si="135"/>
        <v>29881017</v>
      </c>
      <c r="I204" s="310"/>
      <c r="J204" s="317"/>
      <c r="K204" s="317"/>
      <c r="L204" s="299">
        <f t="shared" si="140"/>
        <v>0</v>
      </c>
      <c r="M204" s="298"/>
      <c r="N204" s="295"/>
      <c r="O204" s="295"/>
      <c r="P204" s="299">
        <f t="shared" si="137"/>
        <v>0</v>
      </c>
      <c r="Q204" s="300">
        <f t="shared" si="138"/>
        <v>0</v>
      </c>
      <c r="R204" s="317" t="s">
        <v>13</v>
      </c>
      <c r="S204" s="317" t="s">
        <v>68</v>
      </c>
      <c r="T204" s="317"/>
      <c r="U204" s="318">
        <v>45397</v>
      </c>
      <c r="V204" s="318">
        <v>45657</v>
      </c>
      <c r="W204" s="319"/>
      <c r="X204" s="319"/>
      <c r="Y204" s="319"/>
      <c r="Z204" s="319"/>
      <c r="AA204" s="319"/>
      <c r="AB204" s="319"/>
      <c r="AC204" s="319"/>
      <c r="AD204" s="319"/>
      <c r="AE204" s="319"/>
      <c r="AF204" s="319"/>
      <c r="AG204" s="319"/>
      <c r="AH204" s="319"/>
      <c r="AI204" s="303"/>
      <c r="AJ204" s="304"/>
      <c r="AK204" s="305"/>
      <c r="AL204" s="305"/>
      <c r="AM204" s="306"/>
      <c r="AN204" s="306"/>
      <c r="AO204" s="306"/>
      <c r="AP204" s="306"/>
      <c r="AQ204" s="306"/>
      <c r="AR204" s="306"/>
      <c r="AS204" s="306"/>
      <c r="AT204" s="306"/>
      <c r="AU204" s="306"/>
      <c r="AV204" s="306"/>
      <c r="AW204" s="306"/>
      <c r="AX204" s="306"/>
      <c r="AY204" s="306"/>
      <c r="AZ204" s="306"/>
      <c r="BA204" s="306"/>
      <c r="BB204" s="306"/>
      <c r="BC204" s="306"/>
      <c r="BD204" s="306"/>
      <c r="BE204" s="306"/>
      <c r="BF204" s="306"/>
      <c r="BG204" s="306"/>
      <c r="BH204" s="306"/>
      <c r="BI204" s="306"/>
      <c r="BJ204" s="306"/>
      <c r="BK204" s="306"/>
      <c r="BL204" s="306"/>
      <c r="BM204" s="306"/>
      <c r="BN204" s="306"/>
      <c r="BO204" s="306"/>
      <c r="BP204" s="306"/>
      <c r="BQ204" s="306"/>
      <c r="BR204" s="306"/>
      <c r="BS204" s="306"/>
      <c r="BT204" s="306"/>
      <c r="BU204" s="306"/>
      <c r="BV204" s="306"/>
      <c r="BW204" s="306"/>
      <c r="BX204" s="306"/>
      <c r="BY204" s="306"/>
      <c r="BZ204" s="306"/>
      <c r="CA204" s="306"/>
      <c r="CB204" s="306"/>
      <c r="CC204" s="306"/>
    </row>
    <row r="205" spans="1:81" s="6" customFormat="1" ht="32" x14ac:dyDescent="0.35">
      <c r="A205" s="81"/>
      <c r="B205" s="36" t="s">
        <v>245</v>
      </c>
      <c r="C205" s="157" t="s">
        <v>20</v>
      </c>
      <c r="D205" s="205" t="s">
        <v>37</v>
      </c>
      <c r="E205" s="157"/>
      <c r="F205" s="9">
        <v>0</v>
      </c>
      <c r="G205" s="9"/>
      <c r="H205" s="2">
        <f t="shared" si="135"/>
        <v>0</v>
      </c>
      <c r="I205" s="2"/>
      <c r="J205" s="1"/>
      <c r="K205" s="1"/>
      <c r="L205" s="3">
        <f t="shared" si="140"/>
        <v>0</v>
      </c>
      <c r="M205" s="28">
        <f>8955*670</f>
        <v>5999850</v>
      </c>
      <c r="N205" s="26">
        <v>1</v>
      </c>
      <c r="O205" s="26">
        <v>1</v>
      </c>
      <c r="P205" s="3">
        <f t="shared" si="137"/>
        <v>5999850</v>
      </c>
      <c r="Q205" s="17">
        <f t="shared" si="138"/>
        <v>5999850</v>
      </c>
      <c r="R205" s="1" t="s">
        <v>13</v>
      </c>
      <c r="S205" s="1" t="s">
        <v>68</v>
      </c>
      <c r="T205" s="1"/>
      <c r="U205" s="33">
        <f>+V204</f>
        <v>45657</v>
      </c>
      <c r="V205" s="33">
        <v>46022</v>
      </c>
      <c r="W205" s="12"/>
      <c r="X205" s="12"/>
      <c r="Y205" s="12"/>
      <c r="Z205" s="12"/>
      <c r="AA205" s="12"/>
      <c r="AB205" s="12"/>
      <c r="AC205" s="12"/>
      <c r="AD205" s="12"/>
      <c r="AE205" s="12"/>
      <c r="AF205" s="12"/>
      <c r="AG205" s="12"/>
      <c r="AH205" s="12"/>
      <c r="AI205" s="13"/>
      <c r="AJ205" s="80"/>
      <c r="AK205" s="5"/>
      <c r="AL205" s="5"/>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row>
    <row r="206" spans="1:81" s="6" customFormat="1" ht="25" x14ac:dyDescent="0.35">
      <c r="A206" s="81"/>
      <c r="B206" s="36" t="s">
        <v>222</v>
      </c>
      <c r="C206" s="157" t="s">
        <v>20</v>
      </c>
      <c r="D206" s="205" t="s">
        <v>67</v>
      </c>
      <c r="E206" s="157"/>
      <c r="F206" s="9">
        <v>0</v>
      </c>
      <c r="G206" s="9"/>
      <c r="H206" s="2">
        <f t="shared" si="135"/>
        <v>0</v>
      </c>
      <c r="I206" s="2"/>
      <c r="J206" s="1"/>
      <c r="K206" s="1"/>
      <c r="L206" s="3">
        <f t="shared" si="140"/>
        <v>0</v>
      </c>
      <c r="M206" s="28">
        <v>500000</v>
      </c>
      <c r="N206" s="26">
        <v>1</v>
      </c>
      <c r="O206" s="26">
        <v>12</v>
      </c>
      <c r="P206" s="3">
        <f t="shared" si="137"/>
        <v>6000000</v>
      </c>
      <c r="Q206" s="17">
        <f t="shared" si="138"/>
        <v>6000000</v>
      </c>
      <c r="R206" s="1" t="s">
        <v>13</v>
      </c>
      <c r="S206" s="1" t="s">
        <v>15</v>
      </c>
      <c r="T206" s="1"/>
      <c r="U206" s="33">
        <v>45658</v>
      </c>
      <c r="V206" s="33">
        <f>V203</f>
        <v>46022</v>
      </c>
      <c r="W206" s="12"/>
      <c r="X206" s="12"/>
      <c r="Y206" s="12"/>
      <c r="Z206" s="12"/>
      <c r="AA206" s="12"/>
      <c r="AB206" s="12"/>
      <c r="AC206" s="12"/>
      <c r="AD206" s="12"/>
      <c r="AE206" s="12"/>
      <c r="AF206" s="12"/>
      <c r="AG206" s="12"/>
      <c r="AH206" s="12"/>
      <c r="AI206" s="13"/>
      <c r="AJ206" s="80"/>
      <c r="AK206" s="5"/>
      <c r="AL206" s="5"/>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row>
    <row r="207" spans="1:81" s="312" customFormat="1" ht="25" x14ac:dyDescent="0.35">
      <c r="A207" s="313"/>
      <c r="B207" s="314" t="s">
        <v>419</v>
      </c>
      <c r="C207" s="315"/>
      <c r="D207" s="316"/>
      <c r="E207" s="320">
        <v>20857829</v>
      </c>
      <c r="F207" s="309">
        <v>0</v>
      </c>
      <c r="G207" s="309"/>
      <c r="H207" s="310">
        <f t="shared" si="135"/>
        <v>20857829</v>
      </c>
      <c r="I207" s="310"/>
      <c r="J207" s="317"/>
      <c r="K207" s="317"/>
      <c r="L207" s="3">
        <f t="shared" si="140"/>
        <v>0</v>
      </c>
      <c r="M207" s="298"/>
      <c r="N207" s="295"/>
      <c r="O207" s="295"/>
      <c r="P207" s="299">
        <f t="shared" si="137"/>
        <v>0</v>
      </c>
      <c r="Q207" s="300">
        <f t="shared" si="138"/>
        <v>0</v>
      </c>
      <c r="R207" s="317" t="s">
        <v>16</v>
      </c>
      <c r="S207" s="317" t="s">
        <v>15</v>
      </c>
      <c r="T207" s="317"/>
      <c r="U207" s="318">
        <v>45397</v>
      </c>
      <c r="V207" s="318">
        <v>45565</v>
      </c>
      <c r="W207" s="319"/>
      <c r="X207" s="319"/>
      <c r="Y207" s="319"/>
      <c r="Z207" s="319"/>
      <c r="AA207" s="319"/>
      <c r="AB207" s="319"/>
      <c r="AC207" s="319"/>
      <c r="AD207" s="319"/>
      <c r="AE207" s="319"/>
      <c r="AF207" s="319"/>
      <c r="AG207" s="319"/>
      <c r="AH207" s="319"/>
      <c r="AI207" s="303"/>
      <c r="AJ207" s="304" t="s">
        <v>153</v>
      </c>
      <c r="AK207" s="305"/>
      <c r="AL207" s="305"/>
      <c r="AM207" s="306"/>
      <c r="AN207" s="306"/>
      <c r="AO207" s="306"/>
      <c r="AP207" s="306"/>
      <c r="AQ207" s="306"/>
      <c r="AR207" s="306"/>
      <c r="AS207" s="306"/>
      <c r="AT207" s="306"/>
      <c r="AU207" s="306"/>
      <c r="AV207" s="306"/>
      <c r="AW207" s="306"/>
      <c r="AX207" s="306"/>
      <c r="AY207" s="306"/>
      <c r="AZ207" s="306"/>
      <c r="BA207" s="306"/>
      <c r="BB207" s="306"/>
      <c r="BC207" s="306"/>
      <c r="BD207" s="306"/>
      <c r="BE207" s="306"/>
      <c r="BF207" s="306"/>
      <c r="BG207" s="306"/>
      <c r="BH207" s="306"/>
      <c r="BI207" s="306"/>
      <c r="BJ207" s="306"/>
      <c r="BK207" s="306"/>
      <c r="BL207" s="306"/>
      <c r="BM207" s="306"/>
      <c r="BN207" s="306"/>
      <c r="BO207" s="306"/>
      <c r="BP207" s="306"/>
      <c r="BQ207" s="306"/>
      <c r="BR207" s="306"/>
      <c r="BS207" s="306"/>
      <c r="BT207" s="306"/>
      <c r="BU207" s="306"/>
      <c r="BV207" s="306"/>
      <c r="BW207" s="306"/>
      <c r="BX207" s="306"/>
      <c r="BY207" s="306"/>
      <c r="BZ207" s="306"/>
      <c r="CA207" s="306"/>
      <c r="CB207" s="306"/>
      <c r="CC207" s="306"/>
    </row>
    <row r="208" spans="1:81" s="6" customFormat="1" ht="32" x14ac:dyDescent="0.35">
      <c r="A208" s="81"/>
      <c r="B208" s="36" t="s">
        <v>223</v>
      </c>
      <c r="C208" s="157" t="s">
        <v>64</v>
      </c>
      <c r="D208" s="205" t="s">
        <v>60</v>
      </c>
      <c r="E208" s="194">
        <f>2030000+6955200</f>
        <v>8985200</v>
      </c>
      <c r="F208" s="9">
        <v>0</v>
      </c>
      <c r="G208" s="9">
        <f>600000+1430000</f>
        <v>2030000</v>
      </c>
      <c r="H208" s="2">
        <f t="shared" si="135"/>
        <v>6955200</v>
      </c>
      <c r="I208" s="2"/>
      <c r="J208" s="1"/>
      <c r="K208" s="1"/>
      <c r="L208" s="3">
        <f t="shared" si="140"/>
        <v>0</v>
      </c>
      <c r="M208" s="28">
        <f>6955200*1.034</f>
        <v>7191676.7999999998</v>
      </c>
      <c r="N208" s="26">
        <v>1</v>
      </c>
      <c r="O208" s="26">
        <v>1</v>
      </c>
      <c r="P208" s="3">
        <f t="shared" si="137"/>
        <v>7191676.7999999998</v>
      </c>
      <c r="Q208" s="17">
        <f t="shared" si="138"/>
        <v>7191676.7999999998</v>
      </c>
      <c r="R208" s="1" t="s">
        <v>16</v>
      </c>
      <c r="S208" s="1" t="s">
        <v>17</v>
      </c>
      <c r="T208" s="1"/>
      <c r="U208" s="33">
        <v>45352</v>
      </c>
      <c r="V208" s="33">
        <v>46022</v>
      </c>
      <c r="W208" s="12"/>
      <c r="X208" s="12"/>
      <c r="Y208" s="12"/>
      <c r="Z208" s="12"/>
      <c r="AA208" s="12"/>
      <c r="AB208" s="12"/>
      <c r="AC208" s="12"/>
      <c r="AD208" s="12"/>
      <c r="AE208" s="12"/>
      <c r="AF208" s="12"/>
      <c r="AG208" s="12"/>
      <c r="AH208" s="12"/>
      <c r="AI208" s="13"/>
      <c r="AJ208" s="80"/>
      <c r="AK208" s="5">
        <v>1430000</v>
      </c>
      <c r="AL208" s="5">
        <v>1430000</v>
      </c>
      <c r="AM208" s="5">
        <v>1430000</v>
      </c>
      <c r="AN208" s="5">
        <v>1430000</v>
      </c>
      <c r="AO208" s="5">
        <v>1430000</v>
      </c>
      <c r="AP208" s="5">
        <v>1430000</v>
      </c>
      <c r="AQ208" s="5">
        <v>1430000</v>
      </c>
      <c r="AR208" s="5">
        <v>1430000</v>
      </c>
      <c r="AS208" s="5">
        <v>1430000</v>
      </c>
      <c r="AT208" s="5">
        <v>1430000</v>
      </c>
      <c r="AU208" s="5">
        <v>1430000</v>
      </c>
      <c r="AV208" s="5">
        <v>1430000</v>
      </c>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row>
    <row r="209" spans="1:81" s="6" customFormat="1" ht="16" x14ac:dyDescent="0.35">
      <c r="A209" s="81"/>
      <c r="B209" s="36" t="s">
        <v>224</v>
      </c>
      <c r="C209" s="1" t="s">
        <v>20</v>
      </c>
      <c r="D209" s="205" t="s">
        <v>60</v>
      </c>
      <c r="E209" s="2">
        <f>2528400+3515000+9826700</f>
        <v>15870100</v>
      </c>
      <c r="F209" s="9">
        <v>5098784</v>
      </c>
      <c r="G209" s="9">
        <v>818892</v>
      </c>
      <c r="H209" s="2">
        <f t="shared" si="135"/>
        <v>9952424</v>
      </c>
      <c r="I209" s="2"/>
      <c r="J209" s="1"/>
      <c r="K209" s="1"/>
      <c r="L209" s="3">
        <f t="shared" si="140"/>
        <v>0</v>
      </c>
      <c r="M209" s="28">
        <f>9826700*1.034</f>
        <v>10160807.800000001</v>
      </c>
      <c r="N209" s="26">
        <v>1</v>
      </c>
      <c r="O209" s="26">
        <v>1</v>
      </c>
      <c r="P209" s="3">
        <f t="shared" si="137"/>
        <v>10160807.800000001</v>
      </c>
      <c r="Q209" s="17">
        <f t="shared" si="138"/>
        <v>10160807.800000001</v>
      </c>
      <c r="R209" s="1" t="s">
        <v>16</v>
      </c>
      <c r="S209" s="1" t="s">
        <v>17</v>
      </c>
      <c r="T209" s="1"/>
      <c r="U209" s="33">
        <v>45352</v>
      </c>
      <c r="V209" s="33">
        <v>46022</v>
      </c>
      <c r="W209" s="12"/>
      <c r="X209" s="12"/>
      <c r="Y209" s="12"/>
      <c r="Z209" s="12"/>
      <c r="AA209" s="12"/>
      <c r="AB209" s="12"/>
      <c r="AC209" s="12"/>
      <c r="AD209" s="12"/>
      <c r="AE209" s="12"/>
      <c r="AF209" s="12"/>
      <c r="AG209" s="12"/>
      <c r="AH209" s="12"/>
      <c r="AI209" s="13"/>
      <c r="AJ209" s="80"/>
      <c r="AK209" s="9">
        <v>818892</v>
      </c>
      <c r="AL209" s="9">
        <v>818892</v>
      </c>
      <c r="AM209" s="9">
        <v>818892</v>
      </c>
      <c r="AN209" s="9">
        <v>818892</v>
      </c>
      <c r="AO209" s="9">
        <v>818892</v>
      </c>
      <c r="AP209" s="9">
        <v>818892</v>
      </c>
      <c r="AQ209" s="9">
        <v>818892</v>
      </c>
      <c r="AR209" s="9">
        <v>818892</v>
      </c>
      <c r="AS209" s="9">
        <v>818892</v>
      </c>
      <c r="AT209" s="9">
        <v>818892</v>
      </c>
      <c r="AU209" s="9">
        <v>818892</v>
      </c>
      <c r="AV209" s="9">
        <v>818892</v>
      </c>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row>
    <row r="210" spans="1:81" s="6" customFormat="1" ht="32" x14ac:dyDescent="0.35">
      <c r="A210" s="81"/>
      <c r="B210" s="36" t="s">
        <v>420</v>
      </c>
      <c r="C210" s="1" t="s">
        <v>20</v>
      </c>
      <c r="D210" s="205" t="s">
        <v>60</v>
      </c>
      <c r="E210" s="157"/>
      <c r="F210" s="9">
        <v>0</v>
      </c>
      <c r="G210" s="9"/>
      <c r="H210" s="2">
        <f t="shared" si="135"/>
        <v>0</v>
      </c>
      <c r="I210" s="2"/>
      <c r="J210" s="1"/>
      <c r="K210" s="1"/>
      <c r="L210" s="3">
        <f t="shared" si="140"/>
        <v>0</v>
      </c>
      <c r="M210" s="28">
        <f>3000000*1.5</f>
        <v>4500000</v>
      </c>
      <c r="N210" s="26">
        <v>1</v>
      </c>
      <c r="O210" s="26">
        <v>1</v>
      </c>
      <c r="P210" s="3">
        <f t="shared" si="137"/>
        <v>4500000</v>
      </c>
      <c r="Q210" s="17">
        <f t="shared" si="138"/>
        <v>4500000</v>
      </c>
      <c r="R210" s="1" t="s">
        <v>16</v>
      </c>
      <c r="S210" s="1" t="s">
        <v>349</v>
      </c>
      <c r="T210" s="1"/>
      <c r="U210" s="33">
        <v>45658</v>
      </c>
      <c r="V210" s="33">
        <v>46022</v>
      </c>
      <c r="W210" s="12"/>
      <c r="X210" s="12"/>
      <c r="Y210" s="12"/>
      <c r="Z210" s="12"/>
      <c r="AA210" s="12"/>
      <c r="AB210" s="12"/>
      <c r="AC210" s="12"/>
      <c r="AD210" s="12"/>
      <c r="AE210" s="12"/>
      <c r="AF210" s="12"/>
      <c r="AG210" s="12"/>
      <c r="AH210" s="12"/>
      <c r="AI210" s="13"/>
      <c r="AJ210" s="80"/>
      <c r="AK210" s="5"/>
      <c r="AL210" s="5"/>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row>
    <row r="211" spans="1:81" s="6" customFormat="1" ht="16" x14ac:dyDescent="0.35">
      <c r="A211" s="81"/>
      <c r="B211" s="36" t="s">
        <v>421</v>
      </c>
      <c r="C211" s="1"/>
      <c r="D211" s="205" t="s">
        <v>422</v>
      </c>
      <c r="E211" s="157"/>
      <c r="F211" s="9">
        <v>0</v>
      </c>
      <c r="G211" s="9"/>
      <c r="H211" s="2">
        <f t="shared" si="135"/>
        <v>0</v>
      </c>
      <c r="I211" s="2"/>
      <c r="J211" s="1"/>
      <c r="K211" s="1"/>
      <c r="L211" s="3">
        <f t="shared" si="140"/>
        <v>0</v>
      </c>
      <c r="M211" s="28">
        <v>300000</v>
      </c>
      <c r="N211" s="26">
        <v>4</v>
      </c>
      <c r="O211" s="26">
        <v>1</v>
      </c>
      <c r="P211" s="3">
        <f t="shared" si="137"/>
        <v>1200000</v>
      </c>
      <c r="Q211" s="17">
        <f t="shared" si="138"/>
        <v>1200000</v>
      </c>
      <c r="R211" s="1" t="s">
        <v>16</v>
      </c>
      <c r="S211" s="1"/>
      <c r="T211" s="1"/>
      <c r="U211" s="33">
        <v>45658</v>
      </c>
      <c r="V211" s="33">
        <v>46022</v>
      </c>
      <c r="W211" s="12"/>
      <c r="X211" s="12"/>
      <c r="Y211" s="12"/>
      <c r="Z211" s="12"/>
      <c r="AA211" s="12"/>
      <c r="AB211" s="12"/>
      <c r="AC211" s="12"/>
      <c r="AD211" s="12"/>
      <c r="AE211" s="12"/>
      <c r="AF211" s="12"/>
      <c r="AG211" s="12"/>
      <c r="AH211" s="12"/>
      <c r="AI211" s="13"/>
      <c r="AJ211" s="80"/>
      <c r="AK211" s="5"/>
      <c r="AL211" s="5"/>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row>
    <row r="212" spans="1:81" s="6" customFormat="1" ht="25" x14ac:dyDescent="0.35">
      <c r="A212" s="81"/>
      <c r="B212" s="36" t="s">
        <v>225</v>
      </c>
      <c r="C212" s="1" t="s">
        <v>20</v>
      </c>
      <c r="D212" s="205" t="s">
        <v>60</v>
      </c>
      <c r="E212" s="157"/>
      <c r="F212" s="9">
        <v>0</v>
      </c>
      <c r="G212" s="9"/>
      <c r="H212" s="2">
        <f t="shared" si="135"/>
        <v>0</v>
      </c>
      <c r="I212" s="2"/>
      <c r="J212" s="1"/>
      <c r="K212" s="1"/>
      <c r="L212" s="3">
        <f t="shared" si="140"/>
        <v>0</v>
      </c>
      <c r="M212" s="28">
        <f>(11682000)*1.034</f>
        <v>12079188</v>
      </c>
      <c r="N212" s="26">
        <v>1</v>
      </c>
      <c r="O212" s="26">
        <v>1</v>
      </c>
      <c r="P212" s="3">
        <f t="shared" si="137"/>
        <v>12079188</v>
      </c>
      <c r="Q212" s="17">
        <f t="shared" si="138"/>
        <v>12079188</v>
      </c>
      <c r="R212" s="1" t="s">
        <v>16</v>
      </c>
      <c r="S212" s="1" t="s">
        <v>349</v>
      </c>
      <c r="T212" s="1"/>
      <c r="U212" s="33">
        <v>45658</v>
      </c>
      <c r="V212" s="33">
        <v>46022</v>
      </c>
      <c r="W212" s="12"/>
      <c r="X212" s="12"/>
      <c r="Y212" s="12"/>
      <c r="Z212" s="12"/>
      <c r="AA212" s="12"/>
      <c r="AB212" s="12"/>
      <c r="AC212" s="12"/>
      <c r="AD212" s="12"/>
      <c r="AE212" s="12"/>
      <c r="AF212" s="12"/>
      <c r="AG212" s="12"/>
      <c r="AH212" s="12"/>
      <c r="AI212" s="13"/>
      <c r="AJ212" s="80"/>
      <c r="AK212" s="5"/>
      <c r="AL212" s="5"/>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row>
    <row r="213" spans="1:81" s="6" customFormat="1" ht="32" x14ac:dyDescent="0.35">
      <c r="A213" s="81"/>
      <c r="B213" s="36" t="s">
        <v>246</v>
      </c>
      <c r="C213" s="1" t="s">
        <v>20</v>
      </c>
      <c r="D213" s="205"/>
      <c r="E213" s="157"/>
      <c r="F213" s="9"/>
      <c r="G213" s="9"/>
      <c r="H213" s="2"/>
      <c r="I213" s="2"/>
      <c r="J213" s="1"/>
      <c r="K213" s="1"/>
      <c r="L213" s="3"/>
      <c r="M213" s="28">
        <v>15000000</v>
      </c>
      <c r="N213" s="26">
        <v>1</v>
      </c>
      <c r="O213" s="26">
        <v>1</v>
      </c>
      <c r="P213" s="3">
        <f t="shared" si="137"/>
        <v>15000000</v>
      </c>
      <c r="Q213" s="17">
        <f t="shared" si="138"/>
        <v>15000000</v>
      </c>
      <c r="R213" s="1" t="s">
        <v>16</v>
      </c>
      <c r="S213" s="1"/>
      <c r="T213" s="1"/>
      <c r="U213" s="33">
        <v>45748</v>
      </c>
      <c r="V213" s="33">
        <f>U213+150</f>
        <v>45898</v>
      </c>
      <c r="W213" s="12"/>
      <c r="X213" s="12"/>
      <c r="Y213" s="12"/>
      <c r="Z213" s="12"/>
      <c r="AA213" s="12"/>
      <c r="AB213" s="12"/>
      <c r="AC213" s="12"/>
      <c r="AD213" s="12"/>
      <c r="AE213" s="12"/>
      <c r="AF213" s="12"/>
      <c r="AG213" s="12"/>
      <c r="AH213" s="12"/>
      <c r="AI213" s="13"/>
      <c r="AJ213" s="80"/>
      <c r="AK213" s="5"/>
      <c r="AL213" s="5"/>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row>
    <row r="214" spans="1:81" s="6" customFormat="1" ht="32" x14ac:dyDescent="0.35">
      <c r="A214" s="81"/>
      <c r="B214" s="36" t="s">
        <v>226</v>
      </c>
      <c r="C214" s="1" t="s">
        <v>20</v>
      </c>
      <c r="D214" s="205" t="s">
        <v>60</v>
      </c>
      <c r="E214" s="157"/>
      <c r="F214" s="9">
        <v>0</v>
      </c>
      <c r="G214" s="9"/>
      <c r="H214" s="2">
        <f t="shared" si="135"/>
        <v>0</v>
      </c>
      <c r="I214" s="2"/>
      <c r="J214" s="1"/>
      <c r="K214" s="1"/>
      <c r="L214" s="3">
        <f t="shared" si="140"/>
        <v>0</v>
      </c>
      <c r="M214" s="28">
        <f>(12956400)*1.02</f>
        <v>13215528</v>
      </c>
      <c r="N214" s="26">
        <v>1</v>
      </c>
      <c r="O214" s="26">
        <v>1</v>
      </c>
      <c r="P214" s="3">
        <f t="shared" si="137"/>
        <v>13215528</v>
      </c>
      <c r="Q214" s="17">
        <f t="shared" si="138"/>
        <v>13215528</v>
      </c>
      <c r="R214" s="1" t="s">
        <v>16</v>
      </c>
      <c r="S214" s="1" t="s">
        <v>349</v>
      </c>
      <c r="T214" s="1"/>
      <c r="U214" s="33">
        <v>45658</v>
      </c>
      <c r="V214" s="33">
        <v>46022</v>
      </c>
      <c r="W214" s="12"/>
      <c r="X214" s="12"/>
      <c r="Y214" s="12"/>
      <c r="Z214" s="12"/>
      <c r="AA214" s="12"/>
      <c r="AB214" s="12"/>
      <c r="AC214" s="12"/>
      <c r="AD214" s="12"/>
      <c r="AE214" s="12"/>
      <c r="AF214" s="12"/>
      <c r="AG214" s="12"/>
      <c r="AH214" s="12"/>
      <c r="AI214" s="13"/>
      <c r="AJ214" s="80"/>
      <c r="AK214" s="5"/>
      <c r="AL214" s="5"/>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row>
    <row r="215" spans="1:81" s="6" customFormat="1" ht="23" x14ac:dyDescent="0.35">
      <c r="A215" s="81"/>
      <c r="B215" s="36" t="s">
        <v>227</v>
      </c>
      <c r="C215" s="1" t="s">
        <v>20</v>
      </c>
      <c r="D215" s="205" t="s">
        <v>69</v>
      </c>
      <c r="E215" s="195">
        <f>749105+2206575+905490*2</f>
        <v>4766660</v>
      </c>
      <c r="F215" s="9">
        <v>4766660</v>
      </c>
      <c r="G215" s="9"/>
      <c r="H215" s="2">
        <f t="shared" si="135"/>
        <v>0</v>
      </c>
      <c r="I215" s="2">
        <v>2000000</v>
      </c>
      <c r="J215" s="1">
        <v>1</v>
      </c>
      <c r="K215" s="1">
        <v>2</v>
      </c>
      <c r="L215" s="3">
        <f t="shared" si="140"/>
        <v>4000000</v>
      </c>
      <c r="M215" s="28">
        <v>2000000</v>
      </c>
      <c r="N215" s="26">
        <v>1</v>
      </c>
      <c r="O215" s="26">
        <v>6</v>
      </c>
      <c r="P215" s="3">
        <f t="shared" si="137"/>
        <v>12000000</v>
      </c>
      <c r="Q215" s="17">
        <f t="shared" si="138"/>
        <v>16000000</v>
      </c>
      <c r="R215" s="1" t="s">
        <v>13</v>
      </c>
      <c r="S215" s="1" t="s">
        <v>70</v>
      </c>
      <c r="T215" s="1"/>
      <c r="U215" s="33">
        <v>45658</v>
      </c>
      <c r="V215" s="33">
        <v>46022</v>
      </c>
      <c r="W215" s="12"/>
      <c r="X215" s="12"/>
      <c r="Y215" s="12"/>
      <c r="Z215" s="12"/>
      <c r="AA215" s="12"/>
      <c r="AB215" s="12"/>
      <c r="AC215" s="12"/>
      <c r="AD215" s="12"/>
      <c r="AE215" s="12"/>
      <c r="AF215" s="12"/>
      <c r="AG215" s="12"/>
      <c r="AH215" s="12"/>
      <c r="AI215" s="13"/>
      <c r="AJ215" s="80"/>
      <c r="AK215" s="5"/>
      <c r="AL215" s="28">
        <v>2000000</v>
      </c>
      <c r="AM215" s="4"/>
      <c r="AN215" s="28">
        <v>2000000</v>
      </c>
      <c r="AO215" s="4"/>
      <c r="AP215" s="28">
        <v>2000000</v>
      </c>
      <c r="AQ215" s="4"/>
      <c r="AR215" s="28">
        <v>2000000</v>
      </c>
      <c r="AS215" s="4"/>
      <c r="AT215" s="28">
        <v>2000000</v>
      </c>
      <c r="AU215" s="4"/>
      <c r="AV215" s="28">
        <v>2000000</v>
      </c>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row>
    <row r="216" spans="1:81" s="6" customFormat="1" ht="23" x14ac:dyDescent="0.35">
      <c r="A216" s="81"/>
      <c r="B216" s="36" t="s">
        <v>228</v>
      </c>
      <c r="C216" s="1" t="s">
        <v>20</v>
      </c>
      <c r="D216" s="205" t="s">
        <v>423</v>
      </c>
      <c r="E216" s="157"/>
      <c r="F216" s="9">
        <v>0</v>
      </c>
      <c r="G216" s="9"/>
      <c r="H216" s="2">
        <f t="shared" si="135"/>
        <v>0</v>
      </c>
      <c r="I216" s="2">
        <v>25000</v>
      </c>
      <c r="J216" s="1">
        <v>1</v>
      </c>
      <c r="K216" s="1">
        <v>2</v>
      </c>
      <c r="L216" s="3">
        <f t="shared" si="140"/>
        <v>50000</v>
      </c>
      <c r="M216" s="28">
        <f>I216</f>
        <v>25000</v>
      </c>
      <c r="N216" s="26">
        <v>1</v>
      </c>
      <c r="O216" s="26">
        <v>4</v>
      </c>
      <c r="P216" s="3">
        <f t="shared" si="137"/>
        <v>100000</v>
      </c>
      <c r="Q216" s="17">
        <f t="shared" si="138"/>
        <v>150000</v>
      </c>
      <c r="R216" s="1" t="s">
        <v>13</v>
      </c>
      <c r="S216" s="1" t="s">
        <v>71</v>
      </c>
      <c r="T216" s="1"/>
      <c r="U216" s="33">
        <v>45658</v>
      </c>
      <c r="V216" s="33">
        <v>46022</v>
      </c>
      <c r="W216" s="12"/>
      <c r="X216" s="12"/>
      <c r="Y216" s="12"/>
      <c r="Z216" s="12"/>
      <c r="AA216" s="12"/>
      <c r="AB216" s="12"/>
      <c r="AC216" s="12"/>
      <c r="AD216" s="12"/>
      <c r="AE216" s="12"/>
      <c r="AF216" s="12"/>
      <c r="AG216" s="12"/>
      <c r="AH216" s="12"/>
      <c r="AI216" s="13"/>
      <c r="AJ216" s="80"/>
      <c r="AK216" s="5"/>
      <c r="AL216" s="28">
        <v>25000</v>
      </c>
      <c r="AM216" s="4"/>
      <c r="AN216" s="4"/>
      <c r="AO216" s="28">
        <v>25000</v>
      </c>
      <c r="AP216" s="4"/>
      <c r="AQ216" s="4"/>
      <c r="AR216" s="28">
        <v>25000</v>
      </c>
      <c r="AS216" s="4"/>
      <c r="AT216" s="4"/>
      <c r="AU216" s="28">
        <v>25000</v>
      </c>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row>
    <row r="217" spans="1:81" s="6" customFormat="1" ht="25" x14ac:dyDescent="0.35">
      <c r="A217" s="81"/>
      <c r="B217" s="36" t="s">
        <v>424</v>
      </c>
      <c r="C217" s="1"/>
      <c r="D217" s="205" t="s">
        <v>14</v>
      </c>
      <c r="E217" s="157"/>
      <c r="F217" s="9">
        <v>0</v>
      </c>
      <c r="G217" s="9"/>
      <c r="H217" s="2">
        <f t="shared" si="135"/>
        <v>0</v>
      </c>
      <c r="I217" s="2"/>
      <c r="J217" s="1"/>
      <c r="K217" s="1"/>
      <c r="L217" s="3">
        <f t="shared" si="140"/>
        <v>0</v>
      </c>
      <c r="M217" s="28">
        <v>2500000</v>
      </c>
      <c r="N217" s="26">
        <v>1</v>
      </c>
      <c r="O217" s="26">
        <v>1</v>
      </c>
      <c r="P217" s="3">
        <f t="shared" si="137"/>
        <v>2500000</v>
      </c>
      <c r="Q217" s="17">
        <f t="shared" si="138"/>
        <v>2500000</v>
      </c>
      <c r="R217" s="1" t="s">
        <v>16</v>
      </c>
      <c r="S217" s="1" t="s">
        <v>15</v>
      </c>
      <c r="T217" s="1"/>
      <c r="U217" s="33">
        <v>45762</v>
      </c>
      <c r="V217" s="33">
        <f>U217+130</f>
        <v>45892</v>
      </c>
      <c r="W217" s="12"/>
      <c r="X217" s="12"/>
      <c r="Y217" s="12"/>
      <c r="Z217" s="12"/>
      <c r="AA217" s="12"/>
      <c r="AB217" s="12"/>
      <c r="AC217" s="12"/>
      <c r="AD217" s="12"/>
      <c r="AE217" s="12"/>
      <c r="AF217" s="12"/>
      <c r="AG217" s="12"/>
      <c r="AH217" s="12"/>
      <c r="AI217" s="13"/>
      <c r="AJ217" s="80"/>
      <c r="AK217" s="5"/>
      <c r="AL217" s="5"/>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row>
    <row r="218" spans="1:81" s="6" customFormat="1" ht="23" x14ac:dyDescent="0.35">
      <c r="A218" s="81"/>
      <c r="B218" s="36" t="s">
        <v>229</v>
      </c>
      <c r="C218" s="1" t="s">
        <v>20</v>
      </c>
      <c r="D218" s="205" t="s">
        <v>100</v>
      </c>
      <c r="E218" s="2">
        <f>281157+ 29106+26400+184464+14850+23700+705338+329250+331489+109704+1058638+29900</f>
        <v>3123996</v>
      </c>
      <c r="F218" s="9">
        <v>3094096</v>
      </c>
      <c r="G218" s="9">
        <v>29900</v>
      </c>
      <c r="H218" s="2">
        <f t="shared" si="135"/>
        <v>0</v>
      </c>
      <c r="I218" s="2">
        <v>800000</v>
      </c>
      <c r="J218" s="1">
        <v>1</v>
      </c>
      <c r="K218" s="1">
        <v>4</v>
      </c>
      <c r="L218" s="3">
        <f t="shared" si="140"/>
        <v>3200000</v>
      </c>
      <c r="M218" s="28">
        <v>800000</v>
      </c>
      <c r="N218" s="26">
        <v>1</v>
      </c>
      <c r="O218" s="26">
        <v>12</v>
      </c>
      <c r="P218" s="3">
        <f t="shared" si="137"/>
        <v>9600000</v>
      </c>
      <c r="Q218" s="17">
        <f t="shared" si="138"/>
        <v>12800000</v>
      </c>
      <c r="R218" s="1" t="s">
        <v>13</v>
      </c>
      <c r="S218" s="1"/>
      <c r="T218" s="1"/>
      <c r="U218" s="33">
        <v>45658</v>
      </c>
      <c r="V218" s="33">
        <v>46022</v>
      </c>
      <c r="W218" s="12"/>
      <c r="X218" s="12"/>
      <c r="Y218" s="12"/>
      <c r="Z218" s="12"/>
      <c r="AA218" s="12"/>
      <c r="AB218" s="12"/>
      <c r="AC218" s="12"/>
      <c r="AD218" s="12"/>
      <c r="AE218" s="12"/>
      <c r="AF218" s="12"/>
      <c r="AG218" s="12"/>
      <c r="AH218" s="12"/>
      <c r="AI218" s="13"/>
      <c r="AJ218" s="80"/>
      <c r="AK218" s="9">
        <v>228286</v>
      </c>
      <c r="AL218" s="9">
        <v>228286</v>
      </c>
      <c r="AM218" s="9">
        <v>228286</v>
      </c>
      <c r="AN218" s="9">
        <v>228286</v>
      </c>
      <c r="AO218" s="9">
        <v>228286</v>
      </c>
      <c r="AP218" s="9">
        <v>228286</v>
      </c>
      <c r="AQ218" s="9">
        <v>228286</v>
      </c>
      <c r="AR218" s="9">
        <v>228286</v>
      </c>
      <c r="AS218" s="9">
        <v>228286</v>
      </c>
      <c r="AT218" s="9">
        <v>228286</v>
      </c>
      <c r="AU218" s="9">
        <v>228286</v>
      </c>
      <c r="AV218" s="9">
        <v>228286</v>
      </c>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row>
    <row r="219" spans="1:81" s="6" customFormat="1" ht="25" x14ac:dyDescent="0.35">
      <c r="A219" s="81"/>
      <c r="B219" s="36" t="s">
        <v>230</v>
      </c>
      <c r="C219" s="1" t="s">
        <v>279</v>
      </c>
      <c r="D219" s="205" t="s">
        <v>60</v>
      </c>
      <c r="E219" s="2">
        <f>4080156+1083909+680026+2720104+680026+9800000</f>
        <v>19044221</v>
      </c>
      <c r="F219" s="9">
        <v>9244221</v>
      </c>
      <c r="G219" s="9">
        <v>9800000</v>
      </c>
      <c r="H219" s="2">
        <f t="shared" si="135"/>
        <v>0</v>
      </c>
      <c r="I219" s="2">
        <v>2000000</v>
      </c>
      <c r="J219" s="1">
        <v>1</v>
      </c>
      <c r="K219" s="1">
        <v>3</v>
      </c>
      <c r="L219" s="3">
        <f t="shared" si="140"/>
        <v>6000000</v>
      </c>
      <c r="M219" s="28">
        <v>2000000</v>
      </c>
      <c r="N219" s="26">
        <v>1</v>
      </c>
      <c r="O219" s="26">
        <v>12</v>
      </c>
      <c r="P219" s="3">
        <f t="shared" si="137"/>
        <v>24000000</v>
      </c>
      <c r="Q219" s="17">
        <f t="shared" si="138"/>
        <v>30000000</v>
      </c>
      <c r="R219" s="1" t="s">
        <v>16</v>
      </c>
      <c r="S219" s="1" t="s">
        <v>17</v>
      </c>
      <c r="T219" s="1"/>
      <c r="U219" s="33">
        <v>45566</v>
      </c>
      <c r="V219" s="33">
        <v>46022</v>
      </c>
      <c r="W219" s="12"/>
      <c r="X219" s="12"/>
      <c r="Y219" s="12"/>
      <c r="Z219" s="12"/>
      <c r="AA219" s="12"/>
      <c r="AB219" s="12"/>
      <c r="AC219" s="12"/>
      <c r="AD219" s="12"/>
      <c r="AE219" s="12"/>
      <c r="AF219" s="12"/>
      <c r="AG219" s="12"/>
      <c r="AH219" s="12"/>
      <c r="AI219" s="13"/>
      <c r="AJ219" s="80"/>
      <c r="AK219" s="28">
        <v>2000000</v>
      </c>
      <c r="AL219" s="5"/>
      <c r="AM219" s="28">
        <v>2000000</v>
      </c>
      <c r="AN219" s="4"/>
      <c r="AO219" s="28">
        <v>2000000</v>
      </c>
      <c r="AP219" s="4"/>
      <c r="AQ219" s="28">
        <v>2000000</v>
      </c>
      <c r="AR219" s="4"/>
      <c r="AS219" s="28">
        <v>2000000</v>
      </c>
      <c r="AT219" s="4"/>
      <c r="AU219" s="28">
        <v>2000000</v>
      </c>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row>
    <row r="220" spans="1:81" s="6" customFormat="1" ht="25" x14ac:dyDescent="0.35">
      <c r="A220" s="81"/>
      <c r="B220" s="36" t="s">
        <v>231</v>
      </c>
      <c r="C220" s="1" t="s">
        <v>64</v>
      </c>
      <c r="D220" s="205" t="s">
        <v>72</v>
      </c>
      <c r="E220" s="90">
        <f>20000*2+1363500+6020410</f>
        <v>7423910</v>
      </c>
      <c r="F220" s="9">
        <v>1403500</v>
      </c>
      <c r="G220" s="9">
        <v>6020410</v>
      </c>
      <c r="H220" s="2">
        <f t="shared" si="135"/>
        <v>0</v>
      </c>
      <c r="I220" s="2">
        <v>7423910</v>
      </c>
      <c r="J220" s="1">
        <v>1</v>
      </c>
      <c r="K220" s="1">
        <v>2</v>
      </c>
      <c r="L220" s="3">
        <f t="shared" si="140"/>
        <v>14847820</v>
      </c>
      <c r="M220" s="28">
        <v>7423910</v>
      </c>
      <c r="N220" s="26">
        <v>1</v>
      </c>
      <c r="O220" s="26">
        <v>6</v>
      </c>
      <c r="P220" s="3">
        <f t="shared" si="137"/>
        <v>44543460</v>
      </c>
      <c r="Q220" s="17">
        <f t="shared" si="138"/>
        <v>59391280</v>
      </c>
      <c r="R220" s="1" t="s">
        <v>16</v>
      </c>
      <c r="S220" s="1" t="s">
        <v>15</v>
      </c>
      <c r="T220" s="1"/>
      <c r="U220" s="33">
        <v>45566</v>
      </c>
      <c r="V220" s="33">
        <v>46022</v>
      </c>
      <c r="W220" s="12"/>
      <c r="X220" s="12"/>
      <c r="Y220" s="12"/>
      <c r="Z220" s="12"/>
      <c r="AA220" s="12"/>
      <c r="AB220" s="12"/>
      <c r="AC220" s="12"/>
      <c r="AD220" s="12"/>
      <c r="AE220" s="12"/>
      <c r="AF220" s="12"/>
      <c r="AG220" s="12"/>
      <c r="AH220" s="12"/>
      <c r="AI220" s="13"/>
      <c r="AJ220" s="80"/>
      <c r="AK220" s="5"/>
      <c r="AL220" s="28">
        <v>7423910</v>
      </c>
      <c r="AM220" s="4"/>
      <c r="AN220" s="4"/>
      <c r="AO220" s="4"/>
      <c r="AP220" s="28">
        <v>7423910</v>
      </c>
      <c r="AQ220" s="4"/>
      <c r="AR220" s="4"/>
      <c r="AS220" s="4"/>
      <c r="AT220" s="28">
        <v>7423910</v>
      </c>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row>
    <row r="221" spans="1:81" s="312" customFormat="1" ht="25" x14ac:dyDescent="0.35">
      <c r="A221" s="313"/>
      <c r="B221" s="314" t="s">
        <v>232</v>
      </c>
      <c r="C221" s="317" t="s">
        <v>64</v>
      </c>
      <c r="D221" s="316" t="s">
        <v>72</v>
      </c>
      <c r="E221" s="321">
        <v>640000</v>
      </c>
      <c r="F221" s="309">
        <v>640000</v>
      </c>
      <c r="G221" s="309"/>
      <c r="H221" s="310">
        <f t="shared" si="135"/>
        <v>0</v>
      </c>
      <c r="I221" s="310"/>
      <c r="J221" s="317"/>
      <c r="K221" s="317"/>
      <c r="L221" s="299">
        <f t="shared" si="140"/>
        <v>0</v>
      </c>
      <c r="M221" s="298"/>
      <c r="N221" s="295"/>
      <c r="O221" s="295"/>
      <c r="P221" s="299">
        <f t="shared" si="137"/>
        <v>0</v>
      </c>
      <c r="Q221" s="300">
        <f t="shared" si="138"/>
        <v>0</v>
      </c>
      <c r="R221" s="317" t="s">
        <v>16</v>
      </c>
      <c r="S221" s="317" t="s">
        <v>15</v>
      </c>
      <c r="T221" s="317"/>
      <c r="U221" s="318">
        <v>45397</v>
      </c>
      <c r="V221" s="318">
        <f>+U221+120</f>
        <v>45517</v>
      </c>
      <c r="W221" s="319"/>
      <c r="X221" s="319"/>
      <c r="Y221" s="319"/>
      <c r="Z221" s="319"/>
      <c r="AA221" s="319"/>
      <c r="AB221" s="319"/>
      <c r="AC221" s="319"/>
      <c r="AD221" s="319"/>
      <c r="AE221" s="319"/>
      <c r="AF221" s="319"/>
      <c r="AG221" s="319"/>
      <c r="AH221" s="319"/>
      <c r="AI221" s="303"/>
      <c r="AJ221" s="304"/>
      <c r="AK221" s="305"/>
      <c r="AL221" s="305"/>
      <c r="AM221" s="306"/>
      <c r="AN221" s="306"/>
      <c r="AO221" s="306"/>
      <c r="AP221" s="306"/>
      <c r="AQ221" s="306"/>
      <c r="AR221" s="306"/>
      <c r="AS221" s="306"/>
      <c r="AT221" s="306"/>
      <c r="AU221" s="306"/>
      <c r="AV221" s="306"/>
      <c r="AW221" s="306"/>
      <c r="AX221" s="306"/>
      <c r="AY221" s="306"/>
      <c r="AZ221" s="306"/>
      <c r="BA221" s="306"/>
      <c r="BB221" s="306"/>
      <c r="BC221" s="306"/>
      <c r="BD221" s="306"/>
      <c r="BE221" s="306"/>
      <c r="BF221" s="306"/>
      <c r="BG221" s="306"/>
      <c r="BH221" s="306"/>
      <c r="BI221" s="306"/>
      <c r="BJ221" s="306"/>
      <c r="BK221" s="306"/>
      <c r="BL221" s="306"/>
      <c r="BM221" s="306"/>
      <c r="BN221" s="306"/>
      <c r="BO221" s="306"/>
      <c r="BP221" s="306"/>
      <c r="BQ221" s="306"/>
      <c r="BR221" s="306"/>
      <c r="BS221" s="306"/>
      <c r="BT221" s="306"/>
      <c r="BU221" s="306"/>
      <c r="BV221" s="306"/>
      <c r="BW221" s="306"/>
      <c r="BX221" s="306"/>
      <c r="BY221" s="306"/>
      <c r="BZ221" s="306"/>
      <c r="CA221" s="306"/>
      <c r="CB221" s="306"/>
      <c r="CC221" s="306"/>
    </row>
    <row r="222" spans="1:81" s="6" customFormat="1" ht="25" x14ac:dyDescent="0.35">
      <c r="A222" s="81"/>
      <c r="B222" s="36" t="s">
        <v>233</v>
      </c>
      <c r="C222" s="1" t="s">
        <v>64</v>
      </c>
      <c r="D222" s="205" t="s">
        <v>72</v>
      </c>
      <c r="E222" s="1"/>
      <c r="F222" s="9">
        <v>0</v>
      </c>
      <c r="G222" s="9"/>
      <c r="H222" s="2">
        <f t="shared" si="135"/>
        <v>0</v>
      </c>
      <c r="I222" s="2"/>
      <c r="J222" s="1"/>
      <c r="K222" s="1"/>
      <c r="L222" s="3">
        <f t="shared" si="140"/>
        <v>0</v>
      </c>
      <c r="M222" s="28">
        <v>5000</v>
      </c>
      <c r="N222" s="26">
        <v>50</v>
      </c>
      <c r="O222" s="26">
        <v>1</v>
      </c>
      <c r="P222" s="3">
        <f t="shared" si="137"/>
        <v>250000</v>
      </c>
      <c r="Q222" s="17">
        <f t="shared" si="138"/>
        <v>250000</v>
      </c>
      <c r="R222" s="1" t="s">
        <v>16</v>
      </c>
      <c r="S222" s="1" t="s">
        <v>15</v>
      </c>
      <c r="T222" s="1"/>
      <c r="U222" s="33">
        <v>45689</v>
      </c>
      <c r="V222" s="33">
        <f>+U222+120</f>
        <v>45809</v>
      </c>
      <c r="W222" s="12"/>
      <c r="X222" s="12"/>
      <c r="Y222" s="12"/>
      <c r="Z222" s="12"/>
      <c r="AA222" s="12"/>
      <c r="AB222" s="12"/>
      <c r="AC222" s="12"/>
      <c r="AD222" s="12"/>
      <c r="AE222" s="12"/>
      <c r="AF222" s="12"/>
      <c r="AG222" s="12"/>
      <c r="AH222" s="12"/>
      <c r="AI222" s="13"/>
      <c r="AJ222" s="80"/>
      <c r="AK222" s="5"/>
      <c r="AL222" s="5"/>
      <c r="AM222" s="4"/>
      <c r="AN222" s="4"/>
      <c r="AO222" s="4">
        <v>250000</v>
      </c>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row>
    <row r="223" spans="1:81" s="6" customFormat="1" ht="25" x14ac:dyDescent="0.35">
      <c r="A223" s="81"/>
      <c r="B223" s="36" t="s">
        <v>234</v>
      </c>
      <c r="C223" s="1" t="s">
        <v>64</v>
      </c>
      <c r="D223" s="205" t="s">
        <v>73</v>
      </c>
      <c r="E223" s="1"/>
      <c r="F223" s="9">
        <v>0</v>
      </c>
      <c r="G223" s="9"/>
      <c r="H223" s="2">
        <f t="shared" si="135"/>
        <v>0</v>
      </c>
      <c r="I223" s="2"/>
      <c r="J223" s="1"/>
      <c r="K223" s="1"/>
      <c r="L223" s="3">
        <f t="shared" si="140"/>
        <v>0</v>
      </c>
      <c r="M223" s="28">
        <v>3000000</v>
      </c>
      <c r="N223" s="26">
        <v>1</v>
      </c>
      <c r="O223" s="26">
        <v>1</v>
      </c>
      <c r="P223" s="3">
        <f t="shared" si="137"/>
        <v>3000000</v>
      </c>
      <c r="Q223" s="17">
        <f t="shared" si="138"/>
        <v>3000000</v>
      </c>
      <c r="R223" s="1" t="s">
        <v>16</v>
      </c>
      <c r="S223" s="1" t="s">
        <v>15</v>
      </c>
      <c r="T223" s="1"/>
      <c r="U223" s="33">
        <v>45689</v>
      </c>
      <c r="V223" s="33">
        <f>+U223+120</f>
        <v>45809</v>
      </c>
      <c r="W223" s="12"/>
      <c r="X223" s="12"/>
      <c r="Y223" s="12"/>
      <c r="Z223" s="12"/>
      <c r="AA223" s="12"/>
      <c r="AB223" s="12"/>
      <c r="AC223" s="12"/>
      <c r="AD223" s="12"/>
      <c r="AE223" s="12"/>
      <c r="AF223" s="12"/>
      <c r="AG223" s="12"/>
      <c r="AH223" s="12"/>
      <c r="AI223" s="13"/>
      <c r="AJ223" s="80"/>
      <c r="AK223" s="5"/>
      <c r="AL223" s="5"/>
      <c r="AM223" s="4"/>
      <c r="AN223" s="4"/>
      <c r="AO223" s="4">
        <v>3000000</v>
      </c>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row>
    <row r="224" spans="1:81" s="6" customFormat="1" ht="23.25" customHeight="1" x14ac:dyDescent="0.35">
      <c r="A224" s="81"/>
      <c r="B224" s="36" t="s">
        <v>425</v>
      </c>
      <c r="C224" s="1" t="s">
        <v>20</v>
      </c>
      <c r="D224" s="205" t="s">
        <v>37</v>
      </c>
      <c r="E224" s="1"/>
      <c r="F224" s="9">
        <v>0</v>
      </c>
      <c r="G224" s="9"/>
      <c r="H224" s="2">
        <f t="shared" si="135"/>
        <v>0</v>
      </c>
      <c r="I224" s="2">
        <v>200000</v>
      </c>
      <c r="J224" s="1">
        <v>1</v>
      </c>
      <c r="K224" s="1">
        <v>1</v>
      </c>
      <c r="L224" s="3">
        <f t="shared" si="140"/>
        <v>200000</v>
      </c>
      <c r="M224" s="28">
        <v>200000</v>
      </c>
      <c r="N224" s="26">
        <v>1</v>
      </c>
      <c r="O224" s="26">
        <v>6</v>
      </c>
      <c r="P224" s="3">
        <f t="shared" si="137"/>
        <v>1200000</v>
      </c>
      <c r="Q224" s="17">
        <f t="shared" si="138"/>
        <v>1400000</v>
      </c>
      <c r="R224" s="1" t="s">
        <v>55</v>
      </c>
      <c r="S224" s="1"/>
      <c r="T224" s="1"/>
      <c r="U224" s="33">
        <v>45566</v>
      </c>
      <c r="V224" s="33">
        <v>46022</v>
      </c>
      <c r="W224" s="12"/>
      <c r="X224" s="12"/>
      <c r="Y224" s="12"/>
      <c r="Z224" s="12"/>
      <c r="AA224" s="12"/>
      <c r="AB224" s="12"/>
      <c r="AC224" s="12"/>
      <c r="AD224" s="12"/>
      <c r="AE224" s="12"/>
      <c r="AF224" s="12"/>
      <c r="AG224" s="12"/>
      <c r="AH224" s="12"/>
      <c r="AI224" s="13"/>
      <c r="AJ224" s="80"/>
      <c r="AK224" s="5"/>
      <c r="AL224" s="5"/>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row>
    <row r="225" spans="1:81" s="143" customFormat="1" ht="17.5" x14ac:dyDescent="0.35">
      <c r="A225" s="135" t="s">
        <v>10</v>
      </c>
      <c r="B225" s="181" t="s">
        <v>105</v>
      </c>
      <c r="C225" s="137"/>
      <c r="D225" s="210"/>
      <c r="E225" s="30">
        <f>+E226+E231+E236+E250+E253</f>
        <v>1310064814</v>
      </c>
      <c r="F225" s="30">
        <f t="shared" ref="F225:H225" si="141">+F226+F231+F236+F250+F253</f>
        <v>873825454</v>
      </c>
      <c r="G225" s="30">
        <f t="shared" si="141"/>
        <v>464000</v>
      </c>
      <c r="H225" s="30">
        <f t="shared" si="141"/>
        <v>435775360</v>
      </c>
      <c r="I225" s="30">
        <f t="shared" ref="I225:O225" si="142">+I226+I231+I236+I250</f>
        <v>0</v>
      </c>
      <c r="J225" s="30">
        <f t="shared" si="142"/>
        <v>0</v>
      </c>
      <c r="K225" s="30">
        <f t="shared" si="142"/>
        <v>0</v>
      </c>
      <c r="L225" s="114">
        <f>+L226+L231+L236+L250+L253</f>
        <v>36500000</v>
      </c>
      <c r="M225" s="182">
        <f t="shared" si="142"/>
        <v>0</v>
      </c>
      <c r="N225" s="182">
        <f t="shared" si="142"/>
        <v>0</v>
      </c>
      <c r="O225" s="182">
        <f t="shared" si="142"/>
        <v>0</v>
      </c>
      <c r="P225" s="114">
        <f t="shared" ref="P225:Q225" si="143">+P226+P231+P236+P250+P253</f>
        <v>692370380</v>
      </c>
      <c r="Q225" s="196">
        <f t="shared" si="143"/>
        <v>728870380</v>
      </c>
      <c r="R225" s="138"/>
      <c r="S225" s="138"/>
      <c r="T225" s="138"/>
      <c r="U225" s="142"/>
      <c r="V225" s="142"/>
      <c r="W225" s="142"/>
      <c r="X225" s="142"/>
      <c r="Y225" s="142"/>
      <c r="Z225" s="142"/>
      <c r="AA225" s="142"/>
      <c r="AB225" s="142"/>
      <c r="AC225" s="142"/>
      <c r="AD225" s="142"/>
      <c r="AE225" s="142"/>
      <c r="AF225" s="142"/>
      <c r="AG225" s="142"/>
      <c r="AH225" s="142"/>
      <c r="AI225" s="13"/>
      <c r="AJ225" s="80"/>
      <c r="AK225" s="142">
        <f t="shared" ref="AK225:AV225" si="144">+AK226+AK231+AK236+AK250+AK253</f>
        <v>34725000</v>
      </c>
      <c r="AL225" s="142">
        <f t="shared" si="144"/>
        <v>37977500</v>
      </c>
      <c r="AM225" s="142">
        <f t="shared" si="144"/>
        <v>8240000</v>
      </c>
      <c r="AN225" s="142">
        <f t="shared" si="144"/>
        <v>54240000</v>
      </c>
      <c r="AO225" s="142">
        <f t="shared" si="144"/>
        <v>23240000</v>
      </c>
      <c r="AP225" s="142">
        <f t="shared" si="144"/>
        <v>61084480</v>
      </c>
      <c r="AQ225" s="142">
        <f t="shared" si="144"/>
        <v>23240000</v>
      </c>
      <c r="AR225" s="142">
        <f t="shared" si="144"/>
        <v>3240000</v>
      </c>
      <c r="AS225" s="142">
        <f t="shared" si="144"/>
        <v>3240000</v>
      </c>
      <c r="AT225" s="142">
        <f t="shared" si="144"/>
        <v>30265000</v>
      </c>
      <c r="AU225" s="142">
        <f t="shared" si="144"/>
        <v>3240000</v>
      </c>
      <c r="AV225" s="142">
        <f t="shared" si="144"/>
        <v>8340000</v>
      </c>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row>
    <row r="226" spans="1:81" s="155" customFormat="1" ht="17.5" x14ac:dyDescent="0.35">
      <c r="A226" s="144" t="s">
        <v>127</v>
      </c>
      <c r="B226" s="145" t="s">
        <v>106</v>
      </c>
      <c r="C226" s="32"/>
      <c r="D226" s="208"/>
      <c r="E226" s="31">
        <f>SUM(E227:E229)</f>
        <v>3588000</v>
      </c>
      <c r="F226" s="31">
        <f t="shared" ref="F226:G226" si="145">SUM(F227:F229)</f>
        <v>3168000</v>
      </c>
      <c r="G226" s="31">
        <f t="shared" si="145"/>
        <v>420000</v>
      </c>
      <c r="H226" s="31">
        <f>SUM(H227:H229)</f>
        <v>0</v>
      </c>
      <c r="I226" s="147"/>
      <c r="J226" s="32"/>
      <c r="K226" s="148"/>
      <c r="L226" s="31">
        <f>SUM(L227:L229)</f>
        <v>3240000</v>
      </c>
      <c r="M226" s="122"/>
      <c r="N226" s="158"/>
      <c r="O226" s="88"/>
      <c r="P226" s="31">
        <f>SUM(P227:P229)</f>
        <v>58320000</v>
      </c>
      <c r="Q226" s="32">
        <f>SUM(Q227:Q229)</f>
        <v>61560000</v>
      </c>
      <c r="R226" s="149"/>
      <c r="S226" s="149"/>
      <c r="T226" s="149"/>
      <c r="U226" s="151"/>
      <c r="V226" s="151"/>
      <c r="W226" s="151"/>
      <c r="X226" s="151"/>
      <c r="Y226" s="151"/>
      <c r="Z226" s="151"/>
      <c r="AA226" s="151"/>
      <c r="AB226" s="151"/>
      <c r="AC226" s="151"/>
      <c r="AD226" s="151"/>
      <c r="AE226" s="151"/>
      <c r="AF226" s="151"/>
      <c r="AG226" s="151"/>
      <c r="AH226" s="151"/>
      <c r="AI226" s="152"/>
      <c r="AJ226" s="153"/>
      <c r="AK226" s="31">
        <f>SUM(AK227:AK229)</f>
        <v>0</v>
      </c>
      <c r="AL226" s="31">
        <f t="shared" ref="AL226:AV226" si="146">SUM(AL227:AL229)</f>
        <v>3240000</v>
      </c>
      <c r="AM226" s="31">
        <f t="shared" si="146"/>
        <v>3240000</v>
      </c>
      <c r="AN226" s="31">
        <f t="shared" si="146"/>
        <v>3240000</v>
      </c>
      <c r="AO226" s="31">
        <f t="shared" si="146"/>
        <v>3240000</v>
      </c>
      <c r="AP226" s="31">
        <f t="shared" si="146"/>
        <v>3240000</v>
      </c>
      <c r="AQ226" s="31">
        <f t="shared" si="146"/>
        <v>3240000</v>
      </c>
      <c r="AR226" s="31">
        <f t="shared" si="146"/>
        <v>3240000</v>
      </c>
      <c r="AS226" s="31">
        <f t="shared" si="146"/>
        <v>3240000</v>
      </c>
      <c r="AT226" s="31">
        <f t="shared" si="146"/>
        <v>3240000</v>
      </c>
      <c r="AU226" s="31">
        <f t="shared" si="146"/>
        <v>3240000</v>
      </c>
      <c r="AV226" s="31">
        <f t="shared" si="146"/>
        <v>3240000</v>
      </c>
    </row>
    <row r="227" spans="1:81" s="6" customFormat="1" ht="35.5" customHeight="1" x14ac:dyDescent="0.35">
      <c r="A227" s="81"/>
      <c r="B227" s="36" t="s">
        <v>310</v>
      </c>
      <c r="C227" s="1" t="s">
        <v>77</v>
      </c>
      <c r="D227" s="205" t="s">
        <v>19</v>
      </c>
      <c r="E227" s="90">
        <f>304000*2+640000*4+290000+130000</f>
        <v>3588000</v>
      </c>
      <c r="F227" s="9">
        <v>3168000</v>
      </c>
      <c r="G227" s="9">
        <f>290000+130000</f>
        <v>420000</v>
      </c>
      <c r="H227" s="2">
        <f t="shared" ref="H227:H229" si="147">+E227-(F227+G227)</f>
        <v>0</v>
      </c>
      <c r="I227" s="2">
        <v>81000</v>
      </c>
      <c r="J227" s="1">
        <f>10*(4)</f>
        <v>40</v>
      </c>
      <c r="K227" s="1">
        <v>1</v>
      </c>
      <c r="L227" s="3">
        <f>+I227*K227*J227</f>
        <v>3240000</v>
      </c>
      <c r="M227" s="28">
        <v>81000</v>
      </c>
      <c r="N227" s="26">
        <f>10*(4)</f>
        <v>40</v>
      </c>
      <c r="O227" s="26">
        <v>6</v>
      </c>
      <c r="P227" s="3">
        <f>+M227*O227*N227</f>
        <v>19440000</v>
      </c>
      <c r="Q227" s="17">
        <f t="shared" ref="Q227:Q229" si="148">P227+L227</f>
        <v>22680000</v>
      </c>
      <c r="R227" s="1" t="s">
        <v>55</v>
      </c>
      <c r="S227" s="1" t="s">
        <v>74</v>
      </c>
      <c r="T227" s="1"/>
      <c r="U227" s="33">
        <v>45397</v>
      </c>
      <c r="V227" s="33">
        <v>46022</v>
      </c>
      <c r="W227" s="12"/>
      <c r="X227" s="12"/>
      <c r="Y227" s="12"/>
      <c r="Z227" s="12"/>
      <c r="AA227" s="12"/>
      <c r="AB227" s="12"/>
      <c r="AC227" s="12"/>
      <c r="AD227" s="12"/>
      <c r="AE227" s="12"/>
      <c r="AF227" s="12"/>
      <c r="AG227" s="12"/>
      <c r="AH227" s="12"/>
      <c r="AI227" s="13"/>
      <c r="AJ227" s="80"/>
      <c r="AK227" s="5"/>
      <c r="AL227" s="5">
        <f>81000*10*4</f>
        <v>3240000</v>
      </c>
      <c r="AM227" s="5">
        <f t="shared" ref="AM227:AV227" si="149">81000*10*4</f>
        <v>3240000</v>
      </c>
      <c r="AN227" s="5">
        <f t="shared" si="149"/>
        <v>3240000</v>
      </c>
      <c r="AO227" s="5">
        <f t="shared" si="149"/>
        <v>3240000</v>
      </c>
      <c r="AP227" s="5">
        <f t="shared" si="149"/>
        <v>3240000</v>
      </c>
      <c r="AQ227" s="5">
        <f t="shared" si="149"/>
        <v>3240000</v>
      </c>
      <c r="AR227" s="5">
        <f t="shared" si="149"/>
        <v>3240000</v>
      </c>
      <c r="AS227" s="5">
        <f t="shared" si="149"/>
        <v>3240000</v>
      </c>
      <c r="AT227" s="5">
        <f t="shared" si="149"/>
        <v>3240000</v>
      </c>
      <c r="AU227" s="5">
        <f t="shared" si="149"/>
        <v>3240000</v>
      </c>
      <c r="AV227" s="5">
        <f t="shared" si="149"/>
        <v>3240000</v>
      </c>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row>
    <row r="228" spans="1:81" s="6" customFormat="1" ht="16" x14ac:dyDescent="0.35">
      <c r="A228" s="81"/>
      <c r="B228" s="36" t="s">
        <v>309</v>
      </c>
      <c r="C228" s="1" t="s">
        <v>77</v>
      </c>
      <c r="D228" s="205" t="s">
        <v>19</v>
      </c>
      <c r="E228" s="1"/>
      <c r="F228" s="9">
        <v>0</v>
      </c>
      <c r="G228" s="9"/>
      <c r="H228" s="2">
        <f t="shared" si="147"/>
        <v>0</v>
      </c>
      <c r="I228" s="2"/>
      <c r="J228" s="1"/>
      <c r="K228" s="1"/>
      <c r="L228" s="3">
        <f>+I228*K228*J228</f>
        <v>0</v>
      </c>
      <c r="M228" s="28">
        <v>81000</v>
      </c>
      <c r="N228" s="26">
        <f>1*(4)*2*10</f>
        <v>80</v>
      </c>
      <c r="O228" s="26">
        <v>4</v>
      </c>
      <c r="P228" s="3">
        <f>+M228*O228*N228</f>
        <v>25920000</v>
      </c>
      <c r="Q228" s="17">
        <f t="shared" si="148"/>
        <v>25920000</v>
      </c>
      <c r="R228" s="1" t="s">
        <v>75</v>
      </c>
      <c r="S228" s="1"/>
      <c r="T228" s="1"/>
      <c r="U228" s="33">
        <v>45397</v>
      </c>
      <c r="V228" s="33">
        <v>46022</v>
      </c>
      <c r="W228" s="12"/>
      <c r="X228" s="12"/>
      <c r="Y228" s="12"/>
      <c r="Z228" s="12"/>
      <c r="AA228" s="12"/>
      <c r="AB228" s="12"/>
      <c r="AC228" s="12"/>
      <c r="AD228" s="12"/>
      <c r="AE228" s="12"/>
      <c r="AF228" s="12"/>
      <c r="AG228" s="12"/>
      <c r="AH228" s="12"/>
      <c r="AI228" s="13"/>
      <c r="AJ228" s="80"/>
      <c r="AK228" s="5"/>
      <c r="AL228" s="5"/>
      <c r="AM228" s="5"/>
      <c r="AN228" s="5"/>
      <c r="AO228" s="5"/>
      <c r="AP228" s="5"/>
      <c r="AQ228" s="5"/>
      <c r="AR228" s="5"/>
      <c r="AS228" s="5"/>
      <c r="AT228" s="5"/>
      <c r="AU228" s="5"/>
      <c r="AV228" s="5"/>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row>
    <row r="229" spans="1:81" s="6" customFormat="1" ht="16" x14ac:dyDescent="0.35">
      <c r="A229" s="11"/>
      <c r="B229" s="36" t="s">
        <v>308</v>
      </c>
      <c r="C229" s="1" t="s">
        <v>77</v>
      </c>
      <c r="D229" s="205" t="s">
        <v>19</v>
      </c>
      <c r="E229" s="1"/>
      <c r="F229" s="9">
        <v>0</v>
      </c>
      <c r="G229" s="9"/>
      <c r="H229" s="2">
        <f t="shared" si="147"/>
        <v>0</v>
      </c>
      <c r="I229" s="2"/>
      <c r="J229" s="1"/>
      <c r="K229" s="1"/>
      <c r="L229" s="3">
        <f>+I229*K229*J229</f>
        <v>0</v>
      </c>
      <c r="M229" s="28">
        <v>81000</v>
      </c>
      <c r="N229" s="26">
        <f>1*2*10*(4)</f>
        <v>80</v>
      </c>
      <c r="O229" s="26">
        <v>2</v>
      </c>
      <c r="P229" s="3">
        <f>+M229*O229*N229</f>
        <v>12960000</v>
      </c>
      <c r="Q229" s="17">
        <f t="shared" si="148"/>
        <v>12960000</v>
      </c>
      <c r="R229" s="1" t="s">
        <v>75</v>
      </c>
      <c r="S229" s="1"/>
      <c r="T229" s="1"/>
      <c r="U229" s="33">
        <v>45397</v>
      </c>
      <c r="V229" s="33">
        <v>46022</v>
      </c>
      <c r="W229" s="12"/>
      <c r="X229" s="12"/>
      <c r="Y229" s="12"/>
      <c r="Z229" s="12"/>
      <c r="AA229" s="12"/>
      <c r="AB229" s="12"/>
      <c r="AC229" s="12"/>
      <c r="AD229" s="12"/>
      <c r="AE229" s="12"/>
      <c r="AF229" s="12"/>
      <c r="AG229" s="12"/>
      <c r="AH229" s="12"/>
      <c r="AI229" s="13"/>
      <c r="AJ229" s="80"/>
      <c r="AK229" s="5"/>
      <c r="AL229" s="5"/>
      <c r="AM229" s="5"/>
      <c r="AN229" s="5"/>
      <c r="AO229" s="5"/>
      <c r="AP229" s="5"/>
      <c r="AQ229" s="5"/>
      <c r="AR229" s="5"/>
      <c r="AS229" s="5"/>
      <c r="AT229" s="5"/>
      <c r="AU229" s="5"/>
      <c r="AV229" s="5"/>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row>
    <row r="230" spans="1:81" x14ac:dyDescent="0.35">
      <c r="A230" s="78"/>
      <c r="B230" s="120"/>
      <c r="C230" s="87"/>
      <c r="D230" s="211"/>
      <c r="E230" s="87"/>
      <c r="F230" s="186"/>
      <c r="G230" s="186"/>
      <c r="H230" s="187"/>
      <c r="I230" s="187"/>
      <c r="J230" s="87"/>
      <c r="K230" s="87"/>
      <c r="L230" s="83"/>
      <c r="M230" s="122"/>
      <c r="N230" s="87"/>
      <c r="O230" s="87"/>
      <c r="P230" s="83"/>
      <c r="Q230" s="84"/>
      <c r="R230" s="87"/>
      <c r="S230" s="87"/>
      <c r="T230" s="87"/>
      <c r="U230" s="13"/>
      <c r="V230" s="13"/>
      <c r="W230" s="13"/>
      <c r="X230" s="13"/>
      <c r="Y230" s="13"/>
      <c r="Z230" s="13"/>
      <c r="AA230" s="13"/>
      <c r="AB230" s="13"/>
      <c r="AC230" s="13"/>
      <c r="AD230" s="13"/>
      <c r="AE230" s="13"/>
      <c r="AF230" s="13"/>
      <c r="AG230" s="13"/>
      <c r="AH230" s="13"/>
      <c r="AI230" s="13"/>
      <c r="AJ230" s="80"/>
      <c r="AM230" s="5"/>
      <c r="AN230" s="5"/>
      <c r="AO230" s="5"/>
      <c r="AP230" s="5"/>
      <c r="AQ230" s="5"/>
      <c r="AR230" s="5"/>
      <c r="AS230" s="5"/>
      <c r="AT230" s="5"/>
      <c r="AU230" s="5"/>
      <c r="AV230" s="5"/>
    </row>
    <row r="231" spans="1:81" s="155" customFormat="1" ht="17.5" x14ac:dyDescent="0.35">
      <c r="A231" s="144" t="s">
        <v>127</v>
      </c>
      <c r="B231" s="145" t="s">
        <v>107</v>
      </c>
      <c r="C231" s="32"/>
      <c r="D231" s="208" t="s">
        <v>76</v>
      </c>
      <c r="E231" s="31">
        <f>SUM(E232:E235)</f>
        <v>380088380</v>
      </c>
      <c r="F231" s="31">
        <f t="shared" ref="F231:H231" si="150">SUM(F232:F235)</f>
        <v>33208492</v>
      </c>
      <c r="G231" s="31">
        <f t="shared" si="150"/>
        <v>0</v>
      </c>
      <c r="H231" s="31">
        <f t="shared" si="150"/>
        <v>346879888</v>
      </c>
      <c r="I231" s="147"/>
      <c r="J231" s="32"/>
      <c r="K231" s="148"/>
      <c r="L231" s="31">
        <f>SUM(L232:L235)</f>
        <v>0</v>
      </c>
      <c r="M231" s="122"/>
      <c r="N231" s="158"/>
      <c r="O231" s="88"/>
      <c r="P231" s="31">
        <f>SUM(P232:P235)</f>
        <v>405088380</v>
      </c>
      <c r="Q231" s="31">
        <f>SUM(Q232:Q235)</f>
        <v>405088380</v>
      </c>
      <c r="R231" s="149"/>
      <c r="S231" s="149"/>
      <c r="T231" s="149"/>
      <c r="U231" s="151"/>
      <c r="V231" s="151"/>
      <c r="W231" s="151"/>
      <c r="X231" s="151"/>
      <c r="Y231" s="151"/>
      <c r="Z231" s="151"/>
      <c r="AA231" s="151"/>
      <c r="AB231" s="151"/>
      <c r="AC231" s="151"/>
      <c r="AD231" s="151"/>
      <c r="AE231" s="151"/>
      <c r="AF231" s="151"/>
      <c r="AG231" s="151"/>
      <c r="AH231" s="151"/>
      <c r="AI231" s="152"/>
      <c r="AJ231" s="153"/>
      <c r="AK231" s="31">
        <f>SUM(AK232:AK235)</f>
        <v>34725000</v>
      </c>
      <c r="AL231" s="31">
        <f t="shared" ref="AL231:AV231" si="151">SUM(AL232:AL235)</f>
        <v>29737500</v>
      </c>
      <c r="AM231" s="31">
        <f t="shared" si="151"/>
        <v>5000000</v>
      </c>
      <c r="AN231" s="31">
        <f t="shared" si="151"/>
        <v>0</v>
      </c>
      <c r="AO231" s="31">
        <f t="shared" si="151"/>
        <v>0</v>
      </c>
      <c r="AP231" s="31">
        <f t="shared" si="151"/>
        <v>0</v>
      </c>
      <c r="AQ231" s="31">
        <f t="shared" si="151"/>
        <v>20000000</v>
      </c>
      <c r="AR231" s="31">
        <f t="shared" si="151"/>
        <v>0</v>
      </c>
      <c r="AS231" s="31">
        <f t="shared" si="151"/>
        <v>0</v>
      </c>
      <c r="AT231" s="31">
        <f t="shared" si="151"/>
        <v>27025000</v>
      </c>
      <c r="AU231" s="31">
        <f t="shared" si="151"/>
        <v>0</v>
      </c>
      <c r="AV231" s="31">
        <f t="shared" si="151"/>
        <v>5100000</v>
      </c>
    </row>
    <row r="232" spans="1:81" s="6" customFormat="1" ht="32" x14ac:dyDescent="0.35">
      <c r="A232" s="11"/>
      <c r="B232" s="36" t="s">
        <v>305</v>
      </c>
      <c r="C232" s="1" t="s">
        <v>279</v>
      </c>
      <c r="D232" s="205" t="s">
        <v>60</v>
      </c>
      <c r="E232" s="90">
        <f>228657000*1.25</f>
        <v>285821250</v>
      </c>
      <c r="F232" s="9">
        <v>9875000</v>
      </c>
      <c r="G232" s="9"/>
      <c r="H232" s="2">
        <f t="shared" ref="H232:H234" si="152">+E232-(F232+G232)</f>
        <v>275946250</v>
      </c>
      <c r="I232" s="2"/>
      <c r="J232" s="1"/>
      <c r="K232" s="1"/>
      <c r="L232" s="3">
        <f>+I232*K232*J232</f>
        <v>0</v>
      </c>
      <c r="M232" s="70">
        <f>228657000*1.25</f>
        <v>285821250</v>
      </c>
      <c r="N232" s="26">
        <v>1</v>
      </c>
      <c r="O232" s="26">
        <v>1</v>
      </c>
      <c r="P232" s="3">
        <f>+M232*O232*N232</f>
        <v>285821250</v>
      </c>
      <c r="Q232" s="17">
        <f t="shared" ref="Q232:Q235" si="153">P232+L232</f>
        <v>285821250</v>
      </c>
      <c r="R232" s="1" t="s">
        <v>16</v>
      </c>
      <c r="S232" s="1" t="s">
        <v>17</v>
      </c>
      <c r="T232" s="1"/>
      <c r="U232" s="33">
        <v>45170</v>
      </c>
      <c r="V232" s="33">
        <v>45961</v>
      </c>
      <c r="W232" s="12"/>
      <c r="X232" s="12"/>
      <c r="Y232" s="12"/>
      <c r="Z232" s="12"/>
      <c r="AA232" s="12"/>
      <c r="AB232" s="12"/>
      <c r="AC232" s="12"/>
      <c r="AD232" s="12"/>
      <c r="AE232" s="12"/>
      <c r="AF232" s="12"/>
      <c r="AG232" s="12"/>
      <c r="AH232" s="12"/>
      <c r="AI232" s="13"/>
      <c r="AJ232" s="80"/>
      <c r="AK232" s="5">
        <f>14050000+10800000</f>
        <v>24850000</v>
      </c>
      <c r="AL232" s="5">
        <f>14050000+10800000</f>
        <v>24850000</v>
      </c>
      <c r="AM232" s="5"/>
      <c r="AN232" s="5"/>
      <c r="AO232" s="5"/>
      <c r="AP232" s="5"/>
      <c r="AQ232" s="5"/>
      <c r="AR232" s="5"/>
      <c r="AS232" s="5"/>
      <c r="AT232" s="5">
        <v>17150000</v>
      </c>
      <c r="AU232" s="5"/>
      <c r="AV232" s="5">
        <v>5100000</v>
      </c>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row>
    <row r="233" spans="1:81" s="6" customFormat="1" ht="25" x14ac:dyDescent="0.35">
      <c r="A233" s="11"/>
      <c r="B233" s="36" t="s">
        <v>306</v>
      </c>
      <c r="C233" s="1" t="s">
        <v>279</v>
      </c>
      <c r="D233" s="205" t="s">
        <v>60</v>
      </c>
      <c r="E233" s="90">
        <f>50818504*1.25</f>
        <v>63523130</v>
      </c>
      <c r="F233" s="9">
        <v>23333492</v>
      </c>
      <c r="G233" s="9"/>
      <c r="H233" s="2">
        <f t="shared" si="152"/>
        <v>40189638</v>
      </c>
      <c r="I233" s="2"/>
      <c r="J233" s="1"/>
      <c r="K233" s="1"/>
      <c r="L233" s="3">
        <f>+I233*K233*J233</f>
        <v>0</v>
      </c>
      <c r="M233" s="70">
        <f>50818504*1.25</f>
        <v>63523130</v>
      </c>
      <c r="N233" s="26">
        <v>1</v>
      </c>
      <c r="O233" s="26">
        <v>1</v>
      </c>
      <c r="P233" s="3">
        <f>+M233*O233*N233</f>
        <v>63523130</v>
      </c>
      <c r="Q233" s="17">
        <f t="shared" si="153"/>
        <v>63523130</v>
      </c>
      <c r="R233" s="1" t="s">
        <v>16</v>
      </c>
      <c r="S233" s="1" t="s">
        <v>17</v>
      </c>
      <c r="T233" s="1"/>
      <c r="U233" s="33">
        <v>45170</v>
      </c>
      <c r="V233" s="33">
        <v>45961</v>
      </c>
      <c r="W233" s="12"/>
      <c r="X233" s="12"/>
      <c r="Y233" s="12"/>
      <c r="Z233" s="12"/>
      <c r="AA233" s="12"/>
      <c r="AB233" s="12"/>
      <c r="AC233" s="12"/>
      <c r="AD233" s="12"/>
      <c r="AE233" s="12"/>
      <c r="AF233" s="12"/>
      <c r="AG233" s="12"/>
      <c r="AH233" s="12"/>
      <c r="AI233" s="13"/>
      <c r="AJ233" s="80"/>
      <c r="AK233" s="5"/>
      <c r="AL233" s="5">
        <v>4887500</v>
      </c>
      <c r="AM233" s="5"/>
      <c r="AN233" s="5"/>
      <c r="AO233" s="5"/>
      <c r="AP233" s="5"/>
      <c r="AQ233" s="5"/>
      <c r="AR233" s="5"/>
      <c r="AS233" s="5" t="s">
        <v>452</v>
      </c>
      <c r="AT233" s="5"/>
      <c r="AU233" s="5"/>
      <c r="AV233" s="5"/>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row>
    <row r="234" spans="1:81" s="6" customFormat="1" ht="33.5" customHeight="1" x14ac:dyDescent="0.35">
      <c r="A234" s="11"/>
      <c r="B234" s="36" t="s">
        <v>426</v>
      </c>
      <c r="C234" s="1" t="s">
        <v>279</v>
      </c>
      <c r="D234" s="205" t="s">
        <v>60</v>
      </c>
      <c r="E234" s="90">
        <f>15372000*2</f>
        <v>30744000</v>
      </c>
      <c r="F234" s="9">
        <v>0</v>
      </c>
      <c r="G234" s="9"/>
      <c r="H234" s="2">
        <f t="shared" si="152"/>
        <v>30744000</v>
      </c>
      <c r="I234" s="2"/>
      <c r="J234" s="1"/>
      <c r="K234" s="1"/>
      <c r="L234" s="3">
        <f>+I234*K234*J234</f>
        <v>0</v>
      </c>
      <c r="M234" s="70">
        <f>15372000*2</f>
        <v>30744000</v>
      </c>
      <c r="N234" s="26">
        <v>1</v>
      </c>
      <c r="O234" s="26">
        <v>1</v>
      </c>
      <c r="P234" s="3">
        <f>+M234*O234*N234</f>
        <v>30744000</v>
      </c>
      <c r="Q234" s="17">
        <f t="shared" si="153"/>
        <v>30744000</v>
      </c>
      <c r="R234" s="1" t="s">
        <v>16</v>
      </c>
      <c r="S234" s="1" t="s">
        <v>17</v>
      </c>
      <c r="T234" s="1"/>
      <c r="U234" s="33">
        <v>45170</v>
      </c>
      <c r="V234" s="33">
        <v>45961</v>
      </c>
      <c r="W234" s="12"/>
      <c r="X234" s="12"/>
      <c r="Y234" s="12"/>
      <c r="Z234" s="12"/>
      <c r="AA234" s="12"/>
      <c r="AB234" s="12"/>
      <c r="AC234" s="12"/>
      <c r="AD234" s="12"/>
      <c r="AE234" s="12"/>
      <c r="AF234" s="12"/>
      <c r="AG234" s="12"/>
      <c r="AH234" s="12"/>
      <c r="AI234" s="13"/>
      <c r="AJ234" s="80"/>
      <c r="AK234" s="5">
        <v>9875000</v>
      </c>
      <c r="AL234" s="5"/>
      <c r="AM234" s="5"/>
      <c r="AN234" s="5"/>
      <c r="AO234" s="5"/>
      <c r="AP234" s="5"/>
      <c r="AQ234" s="5"/>
      <c r="AR234" s="5"/>
      <c r="AT234" s="5">
        <v>9875000</v>
      </c>
      <c r="AU234" s="5"/>
      <c r="AV234" s="5"/>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row>
    <row r="235" spans="1:81" s="6" customFormat="1" ht="25" x14ac:dyDescent="0.35">
      <c r="A235" s="11"/>
      <c r="B235" s="36" t="s">
        <v>307</v>
      </c>
      <c r="C235" s="1" t="s">
        <v>279</v>
      </c>
      <c r="D235" s="205" t="s">
        <v>60</v>
      </c>
      <c r="E235" s="90"/>
      <c r="F235" s="9"/>
      <c r="G235" s="9"/>
      <c r="H235" s="2"/>
      <c r="I235" s="2"/>
      <c r="J235" s="1"/>
      <c r="K235" s="1"/>
      <c r="L235" s="3"/>
      <c r="M235" s="70">
        <v>25000000</v>
      </c>
      <c r="N235" s="26">
        <v>1</v>
      </c>
      <c r="O235" s="26">
        <v>1</v>
      </c>
      <c r="P235" s="3">
        <f>+M235*O235*N235</f>
        <v>25000000</v>
      </c>
      <c r="Q235" s="17">
        <f t="shared" si="153"/>
        <v>25000000</v>
      </c>
      <c r="R235" s="1" t="s">
        <v>13</v>
      </c>
      <c r="S235" s="1" t="s">
        <v>17</v>
      </c>
      <c r="T235" s="1"/>
      <c r="U235" s="33">
        <v>45672</v>
      </c>
      <c r="V235" s="33">
        <f>U235+150</f>
        <v>45822</v>
      </c>
      <c r="W235" s="12"/>
      <c r="X235" s="12"/>
      <c r="Y235" s="12"/>
      <c r="Z235" s="12"/>
      <c r="AA235" s="12"/>
      <c r="AB235" s="12"/>
      <c r="AC235" s="12"/>
      <c r="AD235" s="12"/>
      <c r="AE235" s="12"/>
      <c r="AF235" s="12"/>
      <c r="AG235" s="12"/>
      <c r="AH235" s="12"/>
      <c r="AI235" s="13"/>
      <c r="AJ235" s="80"/>
      <c r="AK235" s="5"/>
      <c r="AL235" s="5"/>
      <c r="AM235" s="5">
        <f>+M235*0.2</f>
        <v>5000000</v>
      </c>
      <c r="AN235" s="5"/>
      <c r="AO235" s="5"/>
      <c r="AP235" s="5"/>
      <c r="AQ235" s="330">
        <f>+P235-AM235</f>
        <v>20000000</v>
      </c>
      <c r="AR235" s="5"/>
      <c r="AS235" s="5"/>
      <c r="AT235" s="5"/>
      <c r="AU235" s="5"/>
      <c r="AV235" s="5"/>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row>
    <row r="236" spans="1:81" s="155" customFormat="1" ht="17.5" x14ac:dyDescent="0.35">
      <c r="A236" s="144" t="s">
        <v>127</v>
      </c>
      <c r="B236" s="145" t="s">
        <v>83</v>
      </c>
      <c r="C236" s="32"/>
      <c r="D236" s="208" t="s">
        <v>76</v>
      </c>
      <c r="E236" s="31">
        <f>SUM(E237:E249)</f>
        <v>356690406</v>
      </c>
      <c r="F236" s="31">
        <v>267750934</v>
      </c>
      <c r="G236" s="31">
        <f>SUM(G237:G249)</f>
        <v>44000</v>
      </c>
      <c r="H236" s="31">
        <f>SUM(H237:H249)</f>
        <v>88895472</v>
      </c>
      <c r="I236" s="147"/>
      <c r="J236" s="32"/>
      <c r="K236" s="148"/>
      <c r="L236" s="31">
        <f>SUM(L237:L249)</f>
        <v>25000000</v>
      </c>
      <c r="M236" s="122"/>
      <c r="N236" s="158"/>
      <c r="O236" s="88"/>
      <c r="P236" s="31">
        <f>SUM(P237:P249)</f>
        <v>193250000</v>
      </c>
      <c r="Q236" s="32">
        <f>SUM(Q237:Q249)</f>
        <v>218250000</v>
      </c>
      <c r="R236" s="149"/>
      <c r="S236" s="149"/>
      <c r="T236" s="149"/>
      <c r="U236" s="151"/>
      <c r="V236" s="151"/>
      <c r="W236" s="151"/>
      <c r="X236" s="151"/>
      <c r="Y236" s="151"/>
      <c r="Z236" s="151"/>
      <c r="AA236" s="151"/>
      <c r="AB236" s="151"/>
      <c r="AC236" s="151"/>
      <c r="AD236" s="151"/>
      <c r="AE236" s="151"/>
      <c r="AF236" s="151"/>
      <c r="AG236" s="151"/>
      <c r="AH236" s="151"/>
      <c r="AI236" s="152"/>
      <c r="AJ236" s="153"/>
      <c r="AK236" s="31">
        <f>SUM(AK237:AK249)</f>
        <v>0</v>
      </c>
      <c r="AL236" s="31">
        <f t="shared" ref="AL236:AV236" si="154">SUM(AL237:AL249)</f>
        <v>5000000</v>
      </c>
      <c r="AM236" s="31">
        <f t="shared" si="154"/>
        <v>0</v>
      </c>
      <c r="AN236" s="31">
        <f t="shared" si="154"/>
        <v>51000000</v>
      </c>
      <c r="AO236" s="31">
        <f t="shared" si="154"/>
        <v>20000000</v>
      </c>
      <c r="AP236" s="31">
        <f t="shared" si="154"/>
        <v>57844480</v>
      </c>
      <c r="AQ236" s="31">
        <f t="shared" si="154"/>
        <v>0</v>
      </c>
      <c r="AR236" s="31">
        <f t="shared" si="154"/>
        <v>0</v>
      </c>
      <c r="AS236" s="31">
        <f t="shared" si="154"/>
        <v>0</v>
      </c>
      <c r="AT236" s="31">
        <f t="shared" si="154"/>
        <v>0</v>
      </c>
      <c r="AU236" s="31">
        <f t="shared" si="154"/>
        <v>0</v>
      </c>
      <c r="AV236" s="31">
        <f t="shared" si="154"/>
        <v>0</v>
      </c>
    </row>
    <row r="237" spans="1:81" s="22" customFormat="1" ht="36" hidden="1" x14ac:dyDescent="0.35">
      <c r="A237" s="197"/>
      <c r="B237" s="198" t="s">
        <v>33</v>
      </c>
      <c r="C237" s="20" t="s">
        <v>279</v>
      </c>
      <c r="D237" s="212" t="s">
        <v>14</v>
      </c>
      <c r="E237" s="20"/>
      <c r="F237" s="9">
        <v>0</v>
      </c>
      <c r="G237" s="9"/>
      <c r="H237" s="2">
        <f t="shared" ref="H237:H249" si="155">+E237-(F237+G237)</f>
        <v>0</v>
      </c>
      <c r="I237" s="21"/>
      <c r="J237" s="20"/>
      <c r="K237" s="20"/>
      <c r="L237" s="3">
        <f t="shared" ref="L237:L249" si="156">+I237*K237*J237</f>
        <v>0</v>
      </c>
      <c r="M237" s="28">
        <v>35000000</v>
      </c>
      <c r="N237" s="26">
        <v>1</v>
      </c>
      <c r="O237" s="26">
        <v>0</v>
      </c>
      <c r="P237" s="3">
        <f t="shared" ref="P237:P249" si="157">+M237*O237*N237</f>
        <v>0</v>
      </c>
      <c r="Q237" s="17">
        <f t="shared" ref="Q237:Q249" si="158">P237+L237</f>
        <v>0</v>
      </c>
      <c r="R237" s="20" t="s">
        <v>16</v>
      </c>
      <c r="S237" s="20" t="s">
        <v>17</v>
      </c>
      <c r="T237" s="20"/>
      <c r="U237" s="35">
        <v>45748</v>
      </c>
      <c r="V237" s="35">
        <f>U237+60</f>
        <v>45808</v>
      </c>
      <c r="W237" s="199"/>
      <c r="X237" s="199"/>
      <c r="Y237" s="199"/>
      <c r="Z237" s="199"/>
      <c r="AA237" s="199"/>
      <c r="AB237" s="199"/>
      <c r="AC237" s="199"/>
      <c r="AD237" s="199"/>
      <c r="AE237" s="199"/>
      <c r="AF237" s="199"/>
      <c r="AG237" s="199"/>
      <c r="AH237" s="199"/>
      <c r="AI237" s="13"/>
      <c r="AJ237" s="80"/>
      <c r="AK237" s="5"/>
      <c r="AL237" s="5"/>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row>
    <row r="238" spans="1:81" s="22" customFormat="1" ht="37.5" hidden="1" customHeight="1" x14ac:dyDescent="0.35">
      <c r="A238" s="197"/>
      <c r="B238" s="198" t="s">
        <v>144</v>
      </c>
      <c r="C238" s="20"/>
      <c r="D238" s="212" t="s">
        <v>19</v>
      </c>
      <c r="E238" s="20"/>
      <c r="F238" s="9">
        <v>0</v>
      </c>
      <c r="G238" s="9"/>
      <c r="H238" s="2">
        <f t="shared" si="155"/>
        <v>0</v>
      </c>
      <c r="I238" s="21"/>
      <c r="J238" s="20"/>
      <c r="K238" s="20"/>
      <c r="L238" s="3">
        <f t="shared" si="156"/>
        <v>0</v>
      </c>
      <c r="M238" s="28">
        <f t="shared" ref="M238:M239" si="159">70000+3000</f>
        <v>73000</v>
      </c>
      <c r="N238" s="26">
        <f>40*7</f>
        <v>280</v>
      </c>
      <c r="O238" s="26">
        <v>0</v>
      </c>
      <c r="P238" s="3">
        <f t="shared" si="157"/>
        <v>0</v>
      </c>
      <c r="Q238" s="17">
        <f t="shared" si="158"/>
        <v>0</v>
      </c>
      <c r="R238" s="20"/>
      <c r="S238" s="20"/>
      <c r="T238" s="20"/>
      <c r="U238" s="35">
        <f>+U237</f>
        <v>45748</v>
      </c>
      <c r="V238" s="35">
        <f>+V237</f>
        <v>45808</v>
      </c>
      <c r="W238" s="199"/>
      <c r="X238" s="199"/>
      <c r="Y238" s="199"/>
      <c r="Z238" s="199"/>
      <c r="AA238" s="199"/>
      <c r="AB238" s="199"/>
      <c r="AC238" s="199"/>
      <c r="AD238" s="199"/>
      <c r="AE238" s="199"/>
      <c r="AF238" s="199"/>
      <c r="AG238" s="199"/>
      <c r="AH238" s="199"/>
      <c r="AI238" s="13"/>
      <c r="AJ238" s="80"/>
      <c r="AK238" s="5"/>
      <c r="AL238" s="5"/>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row>
    <row r="239" spans="1:81" s="22" customFormat="1" ht="24" hidden="1" customHeight="1" x14ac:dyDescent="0.35">
      <c r="A239" s="197"/>
      <c r="B239" s="198" t="s">
        <v>145</v>
      </c>
      <c r="C239" s="20"/>
      <c r="D239" s="212" t="s">
        <v>19</v>
      </c>
      <c r="E239" s="20"/>
      <c r="F239" s="9">
        <v>0</v>
      </c>
      <c r="G239" s="9"/>
      <c r="H239" s="2">
        <f t="shared" si="155"/>
        <v>0</v>
      </c>
      <c r="I239" s="21"/>
      <c r="J239" s="23"/>
      <c r="K239" s="20"/>
      <c r="L239" s="3">
        <f t="shared" si="156"/>
        <v>0</v>
      </c>
      <c r="M239" s="28">
        <f t="shared" si="159"/>
        <v>73000</v>
      </c>
      <c r="N239" s="72">
        <f>+N238/2</f>
        <v>140</v>
      </c>
      <c r="O239" s="26">
        <v>0</v>
      </c>
      <c r="P239" s="3">
        <f t="shared" si="157"/>
        <v>0</v>
      </c>
      <c r="Q239" s="17">
        <f t="shared" si="158"/>
        <v>0</v>
      </c>
      <c r="R239" s="20"/>
      <c r="S239" s="20"/>
      <c r="T239" s="20"/>
      <c r="U239" s="35">
        <f>+V238</f>
        <v>45808</v>
      </c>
      <c r="V239" s="35">
        <f>+U239+30</f>
        <v>45838</v>
      </c>
      <c r="W239" s="199"/>
      <c r="X239" s="199"/>
      <c r="Y239" s="199"/>
      <c r="Z239" s="199"/>
      <c r="AA239" s="199"/>
      <c r="AB239" s="199"/>
      <c r="AC239" s="199"/>
      <c r="AD239" s="199"/>
      <c r="AE239" s="199"/>
      <c r="AF239" s="199"/>
      <c r="AG239" s="199"/>
      <c r="AH239" s="199"/>
      <c r="AI239" s="13"/>
      <c r="AJ239" s="80"/>
      <c r="AK239" s="5"/>
      <c r="AL239" s="5"/>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row>
    <row r="240" spans="1:81" s="306" customFormat="1" ht="32" x14ac:dyDescent="0.35">
      <c r="A240" s="293"/>
      <c r="B240" s="294" t="s">
        <v>427</v>
      </c>
      <c r="C240" s="295" t="s">
        <v>279</v>
      </c>
      <c r="D240" s="296"/>
      <c r="E240" s="322">
        <v>44358560</v>
      </c>
      <c r="F240" s="297">
        <v>13307568</v>
      </c>
      <c r="G240" s="297"/>
      <c r="H240" s="298">
        <f t="shared" si="155"/>
        <v>31050992</v>
      </c>
      <c r="I240" s="298"/>
      <c r="J240" s="295"/>
      <c r="K240" s="295"/>
      <c r="L240" s="299">
        <f t="shared" si="156"/>
        <v>0</v>
      </c>
      <c r="M240" s="298"/>
      <c r="N240" s="295"/>
      <c r="O240" s="295"/>
      <c r="P240" s="299">
        <f t="shared" si="157"/>
        <v>0</v>
      </c>
      <c r="Q240" s="300">
        <f t="shared" si="158"/>
        <v>0</v>
      </c>
      <c r="R240" s="295" t="s">
        <v>266</v>
      </c>
      <c r="S240" s="295" t="s">
        <v>91</v>
      </c>
      <c r="T240" s="295" t="s">
        <v>90</v>
      </c>
      <c r="U240" s="301">
        <v>45356</v>
      </c>
      <c r="V240" s="301">
        <f>U240+150+28</f>
        <v>45534</v>
      </c>
      <c r="W240" s="302"/>
      <c r="X240" s="302"/>
      <c r="Y240" s="302"/>
      <c r="Z240" s="302"/>
      <c r="AA240" s="302"/>
      <c r="AB240" s="302"/>
      <c r="AC240" s="302"/>
      <c r="AD240" s="302"/>
      <c r="AE240" s="302"/>
      <c r="AF240" s="302"/>
      <c r="AG240" s="302"/>
      <c r="AH240" s="302"/>
      <c r="AI240" s="303"/>
      <c r="AJ240" s="304" t="s">
        <v>247</v>
      </c>
      <c r="AK240" s="305"/>
      <c r="AL240" s="305"/>
    </row>
    <row r="241" spans="1:81" s="306" customFormat="1" ht="25" x14ac:dyDescent="0.35">
      <c r="A241" s="293"/>
      <c r="B241" s="294" t="s">
        <v>161</v>
      </c>
      <c r="C241" s="295" t="s">
        <v>279</v>
      </c>
      <c r="D241" s="296" t="s">
        <v>14</v>
      </c>
      <c r="E241" s="322">
        <f>317000+8554700+44000</f>
        <v>8915700</v>
      </c>
      <c r="F241" s="297">
        <v>8871700</v>
      </c>
      <c r="G241" s="297">
        <v>44000</v>
      </c>
      <c r="H241" s="298">
        <f t="shared" si="155"/>
        <v>0</v>
      </c>
      <c r="I241" s="298"/>
      <c r="J241" s="295"/>
      <c r="K241" s="295"/>
      <c r="L241" s="299">
        <f t="shared" si="156"/>
        <v>0</v>
      </c>
      <c r="M241" s="298"/>
      <c r="N241" s="295"/>
      <c r="O241" s="295"/>
      <c r="P241" s="299">
        <f t="shared" si="157"/>
        <v>0</v>
      </c>
      <c r="Q241" s="300">
        <f t="shared" si="158"/>
        <v>0</v>
      </c>
      <c r="R241" s="295" t="s">
        <v>266</v>
      </c>
      <c r="S241" s="295" t="s">
        <v>91</v>
      </c>
      <c r="T241" s="295" t="s">
        <v>90</v>
      </c>
      <c r="U241" s="301">
        <v>45509</v>
      </c>
      <c r="V241" s="301">
        <f>+U241+25</f>
        <v>45534</v>
      </c>
      <c r="W241" s="302"/>
      <c r="X241" s="302"/>
      <c r="Y241" s="302"/>
      <c r="Z241" s="302"/>
      <c r="AA241" s="302"/>
      <c r="AB241" s="302"/>
      <c r="AC241" s="302"/>
      <c r="AD241" s="302"/>
      <c r="AE241" s="302"/>
      <c r="AF241" s="302"/>
      <c r="AG241" s="302"/>
      <c r="AH241" s="302"/>
      <c r="AI241" s="303"/>
      <c r="AJ241" s="304" t="s">
        <v>247</v>
      </c>
      <c r="AK241" s="305"/>
      <c r="AL241" s="305"/>
    </row>
    <row r="242" spans="1:81" ht="35.5" customHeight="1" x14ac:dyDescent="0.35">
      <c r="A242" s="78"/>
      <c r="B242" s="37" t="s">
        <v>101</v>
      </c>
      <c r="C242" s="26" t="s">
        <v>279</v>
      </c>
      <c r="D242" s="206" t="s">
        <v>14</v>
      </c>
      <c r="E242" s="70">
        <v>289222401</v>
      </c>
      <c r="F242" s="71">
        <v>231377921</v>
      </c>
      <c r="G242" s="71"/>
      <c r="H242" s="28">
        <f t="shared" si="155"/>
        <v>57844480</v>
      </c>
      <c r="I242" s="28"/>
      <c r="J242" s="329"/>
      <c r="K242" s="26"/>
      <c r="L242" s="3">
        <f t="shared" si="156"/>
        <v>0</v>
      </c>
      <c r="M242" s="28"/>
      <c r="N242" s="26"/>
      <c r="O242" s="26"/>
      <c r="P242" s="3">
        <f t="shared" si="157"/>
        <v>0</v>
      </c>
      <c r="Q242" s="17">
        <f t="shared" si="158"/>
        <v>0</v>
      </c>
      <c r="R242" s="26" t="s">
        <v>253</v>
      </c>
      <c r="S242" s="26" t="s">
        <v>17</v>
      </c>
      <c r="T242" s="26" t="s">
        <v>90</v>
      </c>
      <c r="U242" s="34">
        <v>45414</v>
      </c>
      <c r="V242" s="34">
        <f>U242+120+180</f>
        <v>45714</v>
      </c>
      <c r="W242" s="79"/>
      <c r="X242" s="79"/>
      <c r="Y242" s="79"/>
      <c r="Z242" s="79"/>
      <c r="AA242" s="79"/>
      <c r="AB242" s="79"/>
      <c r="AC242" s="79"/>
      <c r="AD242" s="79"/>
      <c r="AE242" s="79"/>
      <c r="AF242" s="79"/>
      <c r="AG242" s="79"/>
      <c r="AH242" s="79"/>
      <c r="AI242" s="13"/>
      <c r="AJ242" s="80"/>
      <c r="AP242" s="4">
        <v>57844480</v>
      </c>
    </row>
    <row r="243" spans="1:81" ht="38" customHeight="1" x14ac:dyDescent="0.35">
      <c r="A243" s="78"/>
      <c r="B243" s="37" t="s">
        <v>428</v>
      </c>
      <c r="C243" s="26" t="s">
        <v>279</v>
      </c>
      <c r="D243" s="206" t="s">
        <v>14</v>
      </c>
      <c r="E243" s="26"/>
      <c r="F243" s="71">
        <v>0</v>
      </c>
      <c r="G243" s="71"/>
      <c r="H243" s="28">
        <f t="shared" si="155"/>
        <v>0</v>
      </c>
      <c r="I243" s="28"/>
      <c r="J243" s="72"/>
      <c r="K243" s="26"/>
      <c r="L243" s="3">
        <f t="shared" si="156"/>
        <v>0</v>
      </c>
      <c r="M243" s="28">
        <v>35000000</v>
      </c>
      <c r="N243" s="72">
        <v>1</v>
      </c>
      <c r="O243" s="26">
        <v>1</v>
      </c>
      <c r="P243" s="3">
        <f t="shared" si="157"/>
        <v>35000000</v>
      </c>
      <c r="Q243" s="17">
        <f t="shared" si="158"/>
        <v>35000000</v>
      </c>
      <c r="R243" s="26" t="s">
        <v>264</v>
      </c>
      <c r="S243" s="26" t="s">
        <v>17</v>
      </c>
      <c r="T243" s="26" t="s">
        <v>13</v>
      </c>
      <c r="U243" s="34">
        <v>45690</v>
      </c>
      <c r="V243" s="34">
        <f>U243+120</f>
        <v>45810</v>
      </c>
      <c r="W243" s="79"/>
      <c r="X243" s="79"/>
      <c r="Y243" s="79"/>
      <c r="Z243" s="79"/>
      <c r="AA243" s="79"/>
      <c r="AB243" s="79"/>
      <c r="AC243" s="79"/>
      <c r="AD243" s="79"/>
      <c r="AE243" s="79"/>
      <c r="AF243" s="79"/>
      <c r="AG243" s="79"/>
      <c r="AH243" s="79"/>
      <c r="AI243" s="13"/>
      <c r="AJ243" s="80"/>
    </row>
    <row r="244" spans="1:81" ht="32" x14ac:dyDescent="0.35">
      <c r="A244" s="78"/>
      <c r="B244" s="37" t="s">
        <v>429</v>
      </c>
      <c r="C244" s="26" t="s">
        <v>279</v>
      </c>
      <c r="D244" s="206" t="s">
        <v>14</v>
      </c>
      <c r="E244" s="26"/>
      <c r="F244" s="71">
        <v>0</v>
      </c>
      <c r="G244" s="71"/>
      <c r="H244" s="28">
        <f t="shared" si="155"/>
        <v>0</v>
      </c>
      <c r="I244" s="28"/>
      <c r="J244" s="72"/>
      <c r="K244" s="26"/>
      <c r="L244" s="3">
        <f t="shared" si="156"/>
        <v>0</v>
      </c>
      <c r="M244" s="28">
        <v>60000000</v>
      </c>
      <c r="N244" s="72">
        <v>1</v>
      </c>
      <c r="O244" s="26">
        <v>1</v>
      </c>
      <c r="P244" s="3">
        <f t="shared" si="157"/>
        <v>60000000</v>
      </c>
      <c r="Q244" s="17">
        <f t="shared" si="158"/>
        <v>60000000</v>
      </c>
      <c r="R244" s="26" t="s">
        <v>254</v>
      </c>
      <c r="S244" s="26"/>
      <c r="T244" s="26" t="s">
        <v>90</v>
      </c>
      <c r="U244" s="34">
        <v>45690</v>
      </c>
      <c r="V244" s="34">
        <f>U244+120</f>
        <v>45810</v>
      </c>
      <c r="W244" s="79"/>
      <c r="X244" s="79"/>
      <c r="Y244" s="79"/>
      <c r="Z244" s="79"/>
      <c r="AA244" s="79"/>
      <c r="AB244" s="79"/>
      <c r="AC244" s="79"/>
      <c r="AD244" s="79"/>
      <c r="AE244" s="79"/>
      <c r="AF244" s="79"/>
      <c r="AG244" s="79"/>
      <c r="AH244" s="79"/>
      <c r="AI244" s="13"/>
      <c r="AJ244" s="80"/>
    </row>
    <row r="245" spans="1:81" ht="38" customHeight="1" x14ac:dyDescent="0.35">
      <c r="A245" s="78"/>
      <c r="B245" s="37" t="s">
        <v>430</v>
      </c>
      <c r="C245" s="26" t="s">
        <v>279</v>
      </c>
      <c r="D245" s="206" t="s">
        <v>115</v>
      </c>
      <c r="E245" s="28">
        <f>585000+160000+640000*10+1820000+160000*7-65000+3693745+480000</f>
        <v>14193745</v>
      </c>
      <c r="F245" s="71">
        <v>14193745</v>
      </c>
      <c r="G245" s="71"/>
      <c r="H245" s="28">
        <f t="shared" si="155"/>
        <v>0</v>
      </c>
      <c r="I245" s="28"/>
      <c r="J245" s="72"/>
      <c r="K245" s="26"/>
      <c r="L245" s="3">
        <f t="shared" si="156"/>
        <v>0</v>
      </c>
      <c r="M245" s="28">
        <f>17000000*3</f>
        <v>51000000</v>
      </c>
      <c r="N245" s="72">
        <v>1</v>
      </c>
      <c r="O245" s="26">
        <v>1</v>
      </c>
      <c r="P245" s="3">
        <f t="shared" si="157"/>
        <v>51000000</v>
      </c>
      <c r="Q245" s="17">
        <f t="shared" si="158"/>
        <v>51000000</v>
      </c>
      <c r="R245" s="26" t="s">
        <v>156</v>
      </c>
      <c r="S245" s="26" t="s">
        <v>17</v>
      </c>
      <c r="T245" s="26" t="s">
        <v>75</v>
      </c>
      <c r="U245" s="34">
        <v>45737</v>
      </c>
      <c r="V245" s="34">
        <f>U245+120</f>
        <v>45857</v>
      </c>
      <c r="W245" s="79"/>
      <c r="X245" s="79"/>
      <c r="Y245" s="79"/>
      <c r="Z245" s="79"/>
      <c r="AA245" s="79"/>
      <c r="AB245" s="79"/>
      <c r="AC245" s="79"/>
      <c r="AD245" s="79"/>
      <c r="AE245" s="79"/>
      <c r="AF245" s="79"/>
      <c r="AG245" s="79"/>
      <c r="AH245" s="79"/>
      <c r="AI245" s="13"/>
      <c r="AJ245" s="80"/>
      <c r="AN245" s="28">
        <f>17000000*3</f>
        <v>51000000</v>
      </c>
    </row>
    <row r="246" spans="1:81" s="6" customFormat="1" ht="32" x14ac:dyDescent="0.35">
      <c r="A246" s="11"/>
      <c r="B246" s="36" t="s">
        <v>367</v>
      </c>
      <c r="C246" s="1" t="s">
        <v>279</v>
      </c>
      <c r="D246" s="205" t="s">
        <v>37</v>
      </c>
      <c r="E246" s="1"/>
      <c r="F246" s="9">
        <v>0</v>
      </c>
      <c r="G246" s="9"/>
      <c r="H246" s="2">
        <f>+E246-(F246+G246)</f>
        <v>0</v>
      </c>
      <c r="I246" s="2"/>
      <c r="J246" s="177"/>
      <c r="K246" s="1"/>
      <c r="L246" s="3">
        <f>K246*J246*I246</f>
        <v>0</v>
      </c>
      <c r="M246" s="28">
        <v>350000</v>
      </c>
      <c r="N246" s="72">
        <v>45</v>
      </c>
      <c r="O246" s="26">
        <v>1</v>
      </c>
      <c r="P246" s="3">
        <f>O246*N246*M246</f>
        <v>15750000</v>
      </c>
      <c r="Q246" s="17">
        <f>P246+L246</f>
        <v>15750000</v>
      </c>
      <c r="R246" s="1" t="s">
        <v>142</v>
      </c>
      <c r="S246" s="1"/>
      <c r="T246" s="1" t="s">
        <v>90</v>
      </c>
      <c r="U246" s="33">
        <v>45611</v>
      </c>
      <c r="V246" s="33">
        <f>+U246+120</f>
        <v>45731</v>
      </c>
      <c r="W246" s="12"/>
      <c r="X246" s="12"/>
      <c r="Y246" s="12"/>
      <c r="Z246" s="12"/>
      <c r="AA246" s="12"/>
      <c r="AB246" s="12"/>
      <c r="AC246" s="12"/>
      <c r="AD246" s="12"/>
      <c r="AE246" s="12"/>
      <c r="AF246" s="12"/>
      <c r="AG246" s="12"/>
      <c r="AH246" s="12"/>
      <c r="AI246" s="13"/>
      <c r="AJ246" s="80" t="s">
        <v>191</v>
      </c>
      <c r="AK246" s="5"/>
      <c r="AL246" s="5"/>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row>
    <row r="247" spans="1:81" ht="28" x14ac:dyDescent="0.35">
      <c r="A247" s="78"/>
      <c r="B247" s="37" t="s">
        <v>206</v>
      </c>
      <c r="C247" s="26" t="s">
        <v>81</v>
      </c>
      <c r="D247" s="206" t="s">
        <v>18</v>
      </c>
      <c r="E247" s="26"/>
      <c r="F247" s="71">
        <v>0</v>
      </c>
      <c r="G247" s="71"/>
      <c r="H247" s="28">
        <f>+E247-(F247+G247)</f>
        <v>0</v>
      </c>
      <c r="I247" s="28"/>
      <c r="J247" s="72"/>
      <c r="K247" s="26"/>
      <c r="L247" s="3">
        <f>K247*J247*I247</f>
        <v>0</v>
      </c>
      <c r="M247" s="28">
        <v>75000</v>
      </c>
      <c r="N247" s="72">
        <f>30*7</f>
        <v>210</v>
      </c>
      <c r="O247" s="26">
        <v>1</v>
      </c>
      <c r="P247" s="3">
        <f>O247*N247*M247</f>
        <v>15750000</v>
      </c>
      <c r="Q247" s="17">
        <f>P247+L247</f>
        <v>15750000</v>
      </c>
      <c r="R247" s="26" t="s">
        <v>142</v>
      </c>
      <c r="S247" s="26"/>
      <c r="T247" s="26" t="s">
        <v>90</v>
      </c>
      <c r="U247" s="34">
        <f>U246</f>
        <v>45611</v>
      </c>
      <c r="V247" s="34">
        <f>+U247+15</f>
        <v>45626</v>
      </c>
      <c r="W247" s="79"/>
      <c r="X247" s="79"/>
      <c r="Y247" s="79"/>
      <c r="Z247" s="79"/>
      <c r="AA247" s="79"/>
      <c r="AB247" s="79"/>
      <c r="AC247" s="79"/>
      <c r="AD247" s="79"/>
      <c r="AE247" s="79"/>
      <c r="AF247" s="79"/>
      <c r="AG247" s="79"/>
      <c r="AH247" s="79"/>
      <c r="AI247" s="13"/>
      <c r="AJ247" s="80" t="s">
        <v>368</v>
      </c>
    </row>
    <row r="248" spans="1:81" ht="28" x14ac:dyDescent="0.35">
      <c r="A248" s="78"/>
      <c r="B248" s="37" t="s">
        <v>207</v>
      </c>
      <c r="C248" s="26" t="s">
        <v>81</v>
      </c>
      <c r="D248" s="206" t="s">
        <v>18</v>
      </c>
      <c r="E248" s="26"/>
      <c r="F248" s="71">
        <v>0</v>
      </c>
      <c r="G248" s="71"/>
      <c r="H248" s="28">
        <f t="shared" ref="H248" si="160">+E248-(F248+G248)</f>
        <v>0</v>
      </c>
      <c r="I248" s="28"/>
      <c r="J248" s="72"/>
      <c r="K248" s="26"/>
      <c r="L248" s="3">
        <f>K248*J248*I248</f>
        <v>0</v>
      </c>
      <c r="M248" s="28">
        <v>75000</v>
      </c>
      <c r="N248" s="72">
        <f>30*7</f>
        <v>210</v>
      </c>
      <c r="O248" s="26">
        <v>1</v>
      </c>
      <c r="P248" s="3">
        <f>O248*N248*M248</f>
        <v>15750000</v>
      </c>
      <c r="Q248" s="17">
        <f t="shared" ref="Q248" si="161">P248+L248</f>
        <v>15750000</v>
      </c>
      <c r="R248" s="26" t="s">
        <v>142</v>
      </c>
      <c r="S248" s="26"/>
      <c r="T248" s="26" t="s">
        <v>90</v>
      </c>
      <c r="U248" s="34">
        <f>U246</f>
        <v>45611</v>
      </c>
      <c r="V248" s="34">
        <f>+U248+30</f>
        <v>45641</v>
      </c>
      <c r="W248" s="79"/>
      <c r="X248" s="79"/>
      <c r="Y248" s="79"/>
      <c r="Z248" s="79"/>
      <c r="AA248" s="79"/>
      <c r="AB248" s="79"/>
      <c r="AC248" s="79"/>
      <c r="AD248" s="79"/>
      <c r="AE248" s="79"/>
      <c r="AF248" s="79"/>
      <c r="AG248" s="79"/>
      <c r="AH248" s="79"/>
      <c r="AI248" s="13"/>
      <c r="AJ248" s="80" t="s">
        <v>368</v>
      </c>
    </row>
    <row r="249" spans="1:81" ht="56.65" customHeight="1" x14ac:dyDescent="0.35">
      <c r="A249" s="78"/>
      <c r="B249" s="37" t="s">
        <v>431</v>
      </c>
      <c r="C249" s="26" t="s">
        <v>279</v>
      </c>
      <c r="D249" s="206" t="s">
        <v>14</v>
      </c>
      <c r="E249" s="26"/>
      <c r="F249" s="71">
        <v>0</v>
      </c>
      <c r="G249" s="71"/>
      <c r="H249" s="28">
        <f t="shared" si="155"/>
        <v>0</v>
      </c>
      <c r="I249" s="28">
        <v>25000000</v>
      </c>
      <c r="J249" s="72">
        <v>1</v>
      </c>
      <c r="K249" s="26">
        <v>1</v>
      </c>
      <c r="L249" s="3">
        <f t="shared" si="156"/>
        <v>25000000</v>
      </c>
      <c r="M249" s="28"/>
      <c r="N249" s="72"/>
      <c r="O249" s="26"/>
      <c r="P249" s="3">
        <f t="shared" si="157"/>
        <v>0</v>
      </c>
      <c r="Q249" s="17">
        <f t="shared" si="158"/>
        <v>25000000</v>
      </c>
      <c r="R249" s="26" t="s">
        <v>194</v>
      </c>
      <c r="S249" s="26" t="s">
        <v>17</v>
      </c>
      <c r="T249" s="26" t="s">
        <v>75</v>
      </c>
      <c r="U249" s="34">
        <v>45598</v>
      </c>
      <c r="V249" s="34">
        <f>U249+120</f>
        <v>45718</v>
      </c>
      <c r="W249" s="79"/>
      <c r="X249" s="79"/>
      <c r="Y249" s="79"/>
      <c r="Z249" s="79"/>
      <c r="AA249" s="79"/>
      <c r="AB249" s="79"/>
      <c r="AC249" s="79"/>
      <c r="AD249" s="79"/>
      <c r="AE249" s="79"/>
      <c r="AF249" s="79"/>
      <c r="AG249" s="79"/>
      <c r="AH249" s="79"/>
      <c r="AI249" s="13"/>
      <c r="AJ249" s="80" t="s">
        <v>248</v>
      </c>
      <c r="AL249" s="5">
        <f>+L249*0.2</f>
        <v>5000000</v>
      </c>
      <c r="AO249" s="331">
        <f>+Q249-AL249</f>
        <v>20000000</v>
      </c>
    </row>
    <row r="250" spans="1:81" s="155" customFormat="1" ht="17.5" x14ac:dyDescent="0.35">
      <c r="A250" s="144" t="s">
        <v>127</v>
      </c>
      <c r="B250" s="145" t="s">
        <v>87</v>
      </c>
      <c r="C250" s="32"/>
      <c r="D250" s="208" t="s">
        <v>76</v>
      </c>
      <c r="E250" s="31">
        <f>E251+E252</f>
        <v>569698028</v>
      </c>
      <c r="F250" s="31">
        <f>F251+F252</f>
        <v>569698028</v>
      </c>
      <c r="G250" s="31">
        <f t="shared" ref="G250:H250" si="162">G251+G252</f>
        <v>0</v>
      </c>
      <c r="H250" s="31">
        <f t="shared" si="162"/>
        <v>0</v>
      </c>
      <c r="I250" s="147"/>
      <c r="J250" s="32"/>
      <c r="K250" s="148"/>
      <c r="L250" s="31">
        <f>L251+L252</f>
        <v>0</v>
      </c>
      <c r="M250" s="122"/>
      <c r="N250" s="158"/>
      <c r="O250" s="88"/>
      <c r="P250" s="31">
        <f t="shared" ref="P250:Q250" si="163">P251+P252</f>
        <v>35712000</v>
      </c>
      <c r="Q250" s="31">
        <f t="shared" si="163"/>
        <v>35712000</v>
      </c>
      <c r="R250" s="185"/>
      <c r="S250" s="185"/>
      <c r="T250" s="185"/>
      <c r="U250" s="152"/>
      <c r="V250" s="152"/>
      <c r="W250" s="185"/>
      <c r="X250" s="185"/>
      <c r="Y250" s="185"/>
      <c r="Z250" s="185"/>
      <c r="AA250" s="185"/>
      <c r="AB250" s="185"/>
      <c r="AC250" s="185"/>
      <c r="AD250" s="185"/>
      <c r="AE250" s="185"/>
      <c r="AF250" s="185"/>
      <c r="AG250" s="185"/>
      <c r="AH250" s="185"/>
      <c r="AI250" s="185"/>
      <c r="AJ250" s="148"/>
      <c r="AK250" s="31">
        <f t="shared" ref="AK250:AV250" si="164">AK251+AK252</f>
        <v>0</v>
      </c>
      <c r="AL250" s="31">
        <f t="shared" si="164"/>
        <v>0</v>
      </c>
      <c r="AM250" s="31">
        <f t="shared" si="164"/>
        <v>0</v>
      </c>
      <c r="AN250" s="31">
        <f t="shared" si="164"/>
        <v>0</v>
      </c>
      <c r="AO250" s="31">
        <f t="shared" si="164"/>
        <v>0</v>
      </c>
      <c r="AP250" s="31">
        <f t="shared" si="164"/>
        <v>0</v>
      </c>
      <c r="AQ250" s="31">
        <f t="shared" si="164"/>
        <v>0</v>
      </c>
      <c r="AR250" s="31">
        <f t="shared" si="164"/>
        <v>0</v>
      </c>
      <c r="AS250" s="31">
        <f t="shared" si="164"/>
        <v>0</v>
      </c>
      <c r="AT250" s="31">
        <f t="shared" si="164"/>
        <v>0</v>
      </c>
      <c r="AU250" s="31">
        <f t="shared" si="164"/>
        <v>0</v>
      </c>
      <c r="AV250" s="31">
        <f t="shared" si="164"/>
        <v>0</v>
      </c>
      <c r="AW250" s="200"/>
      <c r="AX250" s="200"/>
      <c r="AY250" s="200"/>
      <c r="AZ250" s="200"/>
      <c r="BA250" s="200"/>
      <c r="BB250" s="200"/>
      <c r="BC250" s="200"/>
      <c r="BD250" s="200"/>
      <c r="BE250" s="200"/>
      <c r="BF250" s="200"/>
      <c r="BG250" s="200"/>
      <c r="BH250" s="200"/>
      <c r="BI250" s="200"/>
      <c r="BJ250" s="200"/>
    </row>
    <row r="251" spans="1:81" s="306" customFormat="1" ht="32" x14ac:dyDescent="0.35">
      <c r="A251" s="293"/>
      <c r="B251" s="294" t="s">
        <v>235</v>
      </c>
      <c r="C251" s="295" t="s">
        <v>88</v>
      </c>
      <c r="D251" s="296" t="s">
        <v>49</v>
      </c>
      <c r="E251" s="298">
        <v>569698028</v>
      </c>
      <c r="F251" s="297">
        <v>569698028</v>
      </c>
      <c r="G251" s="297"/>
      <c r="H251" s="298">
        <f t="shared" ref="H251:H252" si="165">+E251-(F251+G251)</f>
        <v>0</v>
      </c>
      <c r="I251" s="298"/>
      <c r="J251" s="323"/>
      <c r="K251" s="295"/>
      <c r="L251" s="299">
        <f>+I251*K251*J251</f>
        <v>0</v>
      </c>
      <c r="M251" s="298"/>
      <c r="N251" s="323"/>
      <c r="O251" s="295"/>
      <c r="P251" s="299">
        <f>+M251*O251*N251</f>
        <v>0</v>
      </c>
      <c r="Q251" s="300">
        <f t="shared" ref="Q251:Q252" si="166">P251+L251</f>
        <v>0</v>
      </c>
      <c r="R251" s="295" t="s">
        <v>155</v>
      </c>
      <c r="S251" s="324"/>
      <c r="T251" s="295"/>
      <c r="U251" s="301">
        <v>45293</v>
      </c>
      <c r="V251" s="301">
        <v>45350</v>
      </c>
      <c r="W251" s="324"/>
      <c r="X251" s="324"/>
      <c r="Y251" s="324"/>
      <c r="Z251" s="324"/>
      <c r="AA251" s="324"/>
      <c r="AB251" s="324"/>
      <c r="AC251" s="324"/>
      <c r="AD251" s="324"/>
      <c r="AE251" s="324"/>
      <c r="AF251" s="324"/>
      <c r="AG251" s="324"/>
      <c r="AH251" s="324"/>
      <c r="AI251" s="324"/>
      <c r="AJ251" s="325" t="s">
        <v>432</v>
      </c>
      <c r="AK251" s="326"/>
      <c r="AL251" s="326"/>
      <c r="AM251" s="326"/>
      <c r="AN251" s="326"/>
      <c r="AO251" s="326"/>
      <c r="AP251" s="326"/>
      <c r="AQ251" s="326"/>
      <c r="AR251" s="326"/>
      <c r="AS251" s="326"/>
      <c r="AT251" s="326"/>
      <c r="AU251" s="326"/>
      <c r="AV251" s="326"/>
      <c r="AW251" s="326"/>
      <c r="AX251" s="326"/>
      <c r="AY251" s="326"/>
      <c r="AZ251" s="326"/>
      <c r="BA251" s="326"/>
      <c r="BB251" s="326"/>
      <c r="BC251" s="326"/>
      <c r="BD251" s="326"/>
      <c r="BE251" s="326"/>
      <c r="BF251" s="326"/>
      <c r="BG251" s="326"/>
      <c r="BH251" s="326"/>
      <c r="BI251" s="326"/>
      <c r="BJ251" s="326"/>
    </row>
    <row r="252" spans="1:81" ht="26.65" customHeight="1" x14ac:dyDescent="0.35">
      <c r="A252" s="78"/>
      <c r="B252" s="37" t="s">
        <v>236</v>
      </c>
      <c r="C252" s="26"/>
      <c r="D252" s="206"/>
      <c r="E252" s="26"/>
      <c r="F252" s="71">
        <v>0</v>
      </c>
      <c r="G252" s="71"/>
      <c r="H252" s="28">
        <f t="shared" si="165"/>
        <v>0</v>
      </c>
      <c r="I252" s="28"/>
      <c r="J252" s="26"/>
      <c r="K252" s="26"/>
      <c r="L252" s="3">
        <f>+I252*K252*J252</f>
        <v>0</v>
      </c>
      <c r="M252" s="28">
        <v>93000</v>
      </c>
      <c r="N252" s="26">
        <f>48*4</f>
        <v>192</v>
      </c>
      <c r="O252" s="26">
        <v>2</v>
      </c>
      <c r="P252" s="3">
        <f>+M252*O252*N252</f>
        <v>35712000</v>
      </c>
      <c r="Q252" s="17">
        <f t="shared" si="166"/>
        <v>35712000</v>
      </c>
      <c r="R252" s="26" t="s">
        <v>269</v>
      </c>
      <c r="S252" s="87"/>
      <c r="T252" s="26" t="s">
        <v>90</v>
      </c>
      <c r="U252" s="34">
        <v>45658</v>
      </c>
      <c r="V252" s="34">
        <f>U252+364</f>
        <v>46022</v>
      </c>
      <c r="W252" s="87"/>
      <c r="X252" s="87"/>
      <c r="Y252" s="87"/>
      <c r="Z252" s="87"/>
      <c r="AA252" s="87"/>
      <c r="AB252" s="87"/>
      <c r="AC252" s="87"/>
      <c r="AD252" s="87"/>
      <c r="AE252" s="87"/>
      <c r="AF252" s="87"/>
      <c r="AG252" s="87"/>
      <c r="AH252" s="87"/>
      <c r="AI252" s="87"/>
      <c r="AJ252" s="88"/>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row>
    <row r="253" spans="1:81" s="155" customFormat="1" ht="17.5" x14ac:dyDescent="0.35">
      <c r="A253" s="144" t="s">
        <v>127</v>
      </c>
      <c r="B253" s="145" t="s">
        <v>433</v>
      </c>
      <c r="C253" s="32"/>
      <c r="D253" s="208" t="s">
        <v>76</v>
      </c>
      <c r="E253" s="31">
        <f>E254+E255</f>
        <v>0</v>
      </c>
      <c r="F253" s="31">
        <f>F254+F255</f>
        <v>0</v>
      </c>
      <c r="G253" s="31">
        <f t="shared" ref="G253:H253" si="167">G254+G255</f>
        <v>0</v>
      </c>
      <c r="H253" s="31">
        <f t="shared" si="167"/>
        <v>0</v>
      </c>
      <c r="I253" s="147"/>
      <c r="J253" s="32"/>
      <c r="K253" s="148"/>
      <c r="L253" s="31">
        <f>L254</f>
        <v>8260000</v>
      </c>
      <c r="M253" s="122"/>
      <c r="N253" s="158"/>
      <c r="O253" s="88"/>
      <c r="P253" s="31">
        <f t="shared" ref="P253" si="168">P254+P255</f>
        <v>0</v>
      </c>
      <c r="Q253" s="31">
        <f>Q254</f>
        <v>8260000</v>
      </c>
      <c r="R253" s="185"/>
      <c r="S253" s="185"/>
      <c r="T253" s="185"/>
      <c r="U253" s="152"/>
      <c r="V253" s="152"/>
      <c r="W253" s="185"/>
      <c r="X253" s="185"/>
      <c r="Y253" s="185"/>
      <c r="Z253" s="185"/>
      <c r="AA253" s="185"/>
      <c r="AB253" s="185"/>
      <c r="AC253" s="185"/>
      <c r="AD253" s="185"/>
      <c r="AE253" s="185"/>
      <c r="AF253" s="185"/>
      <c r="AG253" s="185"/>
      <c r="AH253" s="185"/>
      <c r="AI253" s="185"/>
      <c r="AJ253" s="148"/>
      <c r="AK253" s="31">
        <f t="shared" ref="AK253:AV253" si="169">AK254+AK255</f>
        <v>0</v>
      </c>
      <c r="AL253" s="31">
        <f t="shared" si="169"/>
        <v>0</v>
      </c>
      <c r="AM253" s="31">
        <f t="shared" si="169"/>
        <v>0</v>
      </c>
      <c r="AN253" s="31">
        <f t="shared" si="169"/>
        <v>0</v>
      </c>
      <c r="AO253" s="31">
        <f t="shared" si="169"/>
        <v>0</v>
      </c>
      <c r="AP253" s="31">
        <f t="shared" si="169"/>
        <v>0</v>
      </c>
      <c r="AQ253" s="31">
        <f t="shared" si="169"/>
        <v>0</v>
      </c>
      <c r="AR253" s="31">
        <f t="shared" si="169"/>
        <v>0</v>
      </c>
      <c r="AS253" s="31">
        <f t="shared" si="169"/>
        <v>0</v>
      </c>
      <c r="AT253" s="31">
        <f t="shared" si="169"/>
        <v>0</v>
      </c>
      <c r="AU253" s="31">
        <f t="shared" si="169"/>
        <v>0</v>
      </c>
      <c r="AV253" s="31">
        <f t="shared" si="169"/>
        <v>0</v>
      </c>
      <c r="AW253" s="200"/>
      <c r="AX253" s="200"/>
      <c r="AY253" s="200"/>
      <c r="AZ253" s="200"/>
      <c r="BA253" s="200"/>
      <c r="BB253" s="200"/>
      <c r="BC253" s="200"/>
      <c r="BD253" s="200"/>
      <c r="BE253" s="200"/>
      <c r="BF253" s="200"/>
      <c r="BG253" s="200"/>
      <c r="BH253" s="200"/>
      <c r="BI253" s="200"/>
      <c r="BJ253" s="200"/>
    </row>
    <row r="254" spans="1:81" s="312" customFormat="1" ht="64" x14ac:dyDescent="0.35">
      <c r="A254" s="327"/>
      <c r="B254" s="314" t="s">
        <v>330</v>
      </c>
      <c r="C254" s="317" t="s">
        <v>335</v>
      </c>
      <c r="D254" s="316" t="s">
        <v>331</v>
      </c>
      <c r="E254" s="310"/>
      <c r="F254" s="309"/>
      <c r="G254" s="309"/>
      <c r="H254" s="310"/>
      <c r="I254" s="310">
        <v>8260000</v>
      </c>
      <c r="J254" s="317">
        <v>1</v>
      </c>
      <c r="K254" s="317">
        <v>1</v>
      </c>
      <c r="L254" s="299">
        <f t="shared" ref="L254" si="170">+I254*K254*J254</f>
        <v>8260000</v>
      </c>
      <c r="M254" s="298"/>
      <c r="N254" s="295">
        <v>1</v>
      </c>
      <c r="O254" s="295">
        <v>1</v>
      </c>
      <c r="P254" s="299">
        <f t="shared" ref="P254" si="171">+M254*O254*N254</f>
        <v>0</v>
      </c>
      <c r="Q254" s="300">
        <f t="shared" ref="Q254" si="172">P254+L254</f>
        <v>8260000</v>
      </c>
      <c r="R254" s="317" t="s">
        <v>55</v>
      </c>
      <c r="S254" s="317"/>
      <c r="T254" s="317"/>
      <c r="U254" s="318">
        <v>45689</v>
      </c>
      <c r="V254" s="318">
        <f>U254+300</f>
        <v>45989</v>
      </c>
      <c r="W254" s="319"/>
      <c r="X254" s="319"/>
      <c r="Y254" s="319"/>
      <c r="Z254" s="319"/>
      <c r="AA254" s="319"/>
      <c r="AB254" s="319"/>
      <c r="AC254" s="319"/>
      <c r="AD254" s="319"/>
      <c r="AE254" s="319"/>
      <c r="AF254" s="319"/>
      <c r="AG254" s="319"/>
      <c r="AH254" s="319"/>
      <c r="AI254" s="303"/>
      <c r="AJ254" s="304"/>
      <c r="AK254" s="305"/>
      <c r="AL254" s="305"/>
      <c r="AM254" s="306"/>
      <c r="AN254" s="306"/>
      <c r="AO254" s="306"/>
      <c r="AP254" s="306"/>
      <c r="AQ254" s="306"/>
      <c r="AR254" s="306"/>
      <c r="AS254" s="306"/>
      <c r="AT254" s="306"/>
      <c r="AU254" s="306"/>
      <c r="AV254" s="306"/>
      <c r="AW254" s="306"/>
      <c r="AX254" s="306"/>
      <c r="AY254" s="306"/>
      <c r="AZ254" s="306"/>
      <c r="BA254" s="306"/>
      <c r="BB254" s="306"/>
      <c r="BC254" s="306"/>
      <c r="BD254" s="306"/>
      <c r="BE254" s="306"/>
      <c r="BF254" s="306"/>
      <c r="BG254" s="306"/>
      <c r="BH254" s="306"/>
      <c r="BI254" s="306"/>
      <c r="BJ254" s="306"/>
      <c r="BK254" s="306"/>
      <c r="BL254" s="306"/>
      <c r="BM254" s="306"/>
      <c r="BN254" s="306"/>
      <c r="BO254" s="306"/>
      <c r="BP254" s="306"/>
      <c r="BQ254" s="306"/>
      <c r="BR254" s="306"/>
      <c r="BS254" s="306"/>
      <c r="BT254" s="306"/>
      <c r="BU254" s="306"/>
      <c r="BV254" s="306"/>
      <c r="BW254" s="306"/>
      <c r="BX254" s="306"/>
      <c r="BY254" s="306"/>
      <c r="BZ254" s="306"/>
      <c r="CA254" s="306"/>
      <c r="CB254" s="306"/>
      <c r="CC254" s="306"/>
    </row>
    <row r="255" spans="1:81" s="220" customFormat="1" x14ac:dyDescent="0.35">
      <c r="A255" s="213"/>
      <c r="B255" s="214" t="s">
        <v>311</v>
      </c>
      <c r="C255" s="215"/>
      <c r="D255" s="215"/>
      <c r="E255" s="215"/>
      <c r="F255" s="216"/>
      <c r="G255" s="216"/>
      <c r="H255" s="217"/>
      <c r="I255" s="217"/>
      <c r="J255" s="215"/>
      <c r="K255" s="215"/>
      <c r="L255" s="217"/>
      <c r="M255" s="217"/>
      <c r="N255" s="215"/>
      <c r="O255" s="215"/>
      <c r="P255" s="217"/>
      <c r="Q255" s="216">
        <f>B2</f>
        <v>10039575958.136999</v>
      </c>
      <c r="R255" s="217"/>
      <c r="S255" s="217"/>
      <c r="T255" s="217"/>
      <c r="U255" s="217"/>
      <c r="V255" s="218"/>
      <c r="W255" s="215"/>
      <c r="X255" s="215"/>
      <c r="Y255" s="215"/>
      <c r="Z255" s="215"/>
      <c r="AA255" s="215"/>
      <c r="AB255" s="215"/>
      <c r="AC255" s="215"/>
      <c r="AD255" s="215"/>
      <c r="AE255" s="215"/>
      <c r="AF255" s="215"/>
      <c r="AG255" s="215"/>
      <c r="AH255" s="215"/>
      <c r="AI255" s="215"/>
      <c r="AJ255" s="219"/>
      <c r="AK255" s="215"/>
      <c r="AL255" s="215"/>
      <c r="AM255" s="215"/>
      <c r="AN255" s="215"/>
      <c r="AO255" s="215"/>
      <c r="AP255" s="215"/>
      <c r="AQ255" s="215"/>
      <c r="AR255" s="215"/>
      <c r="AS255" s="215"/>
      <c r="AT255" s="215"/>
      <c r="AU255" s="215"/>
      <c r="AV255" s="215"/>
      <c r="AW255" s="215"/>
      <c r="AX255" s="215"/>
      <c r="AY255" s="215"/>
      <c r="AZ255" s="215"/>
      <c r="BA255" s="215"/>
      <c r="BB255" s="215"/>
      <c r="BC255" s="215"/>
      <c r="BD255" s="215"/>
      <c r="BE255" s="215"/>
      <c r="BF255" s="215"/>
      <c r="BG255" s="215"/>
      <c r="BH255" s="215"/>
      <c r="BI255" s="215"/>
      <c r="BJ255" s="215"/>
    </row>
    <row r="256" spans="1:81" s="220" customFormat="1" x14ac:dyDescent="0.35">
      <c r="A256" s="213"/>
      <c r="B256" s="214" t="s">
        <v>312</v>
      </c>
      <c r="C256" s="215"/>
      <c r="D256" s="215"/>
      <c r="E256" s="215"/>
      <c r="F256" s="216"/>
      <c r="G256" s="216"/>
      <c r="H256" s="217"/>
      <c r="I256" s="217"/>
      <c r="J256" s="215"/>
      <c r="K256" s="215"/>
      <c r="L256" s="217"/>
      <c r="M256" s="217"/>
      <c r="N256" s="215"/>
      <c r="O256" s="215"/>
      <c r="P256" s="217"/>
      <c r="Q256" s="216">
        <f>Q20+Q32+Q34+Q50+Q66+Q220</f>
        <v>64288567.200000003</v>
      </c>
      <c r="R256" s="217"/>
      <c r="S256" s="217"/>
      <c r="T256" s="217"/>
      <c r="U256" s="217"/>
      <c r="V256" s="218"/>
      <c r="W256" s="215"/>
      <c r="X256" s="215"/>
      <c r="Y256" s="215"/>
      <c r="Z256" s="215"/>
      <c r="AA256" s="215"/>
      <c r="AB256" s="215"/>
      <c r="AC256" s="215"/>
      <c r="AD256" s="215"/>
      <c r="AE256" s="215"/>
      <c r="AF256" s="215"/>
      <c r="AG256" s="215"/>
      <c r="AH256" s="215"/>
      <c r="AI256" s="215"/>
      <c r="AJ256" s="219"/>
      <c r="AK256" s="215"/>
      <c r="AL256" s="215"/>
      <c r="AM256" s="215"/>
      <c r="AN256" s="215"/>
      <c r="AO256" s="215"/>
      <c r="AP256" s="215"/>
      <c r="AQ256" s="215"/>
      <c r="AR256" s="215"/>
      <c r="AS256" s="215"/>
      <c r="AT256" s="215"/>
      <c r="AU256" s="215"/>
      <c r="AV256" s="215"/>
      <c r="AW256" s="215"/>
      <c r="AX256" s="215"/>
      <c r="AY256" s="215"/>
      <c r="AZ256" s="215"/>
      <c r="BA256" s="215"/>
      <c r="BB256" s="215"/>
      <c r="BC256" s="215"/>
      <c r="BD256" s="215"/>
      <c r="BE256" s="215"/>
      <c r="BF256" s="215"/>
      <c r="BG256" s="215"/>
      <c r="BH256" s="215"/>
      <c r="BI256" s="215"/>
      <c r="BJ256" s="215"/>
    </row>
    <row r="257" spans="1:62" s="220" customFormat="1" x14ac:dyDescent="0.35">
      <c r="A257" s="213"/>
      <c r="B257" s="214" t="s">
        <v>313</v>
      </c>
      <c r="C257" s="215"/>
      <c r="D257" s="215"/>
      <c r="E257" s="215"/>
      <c r="F257" s="216"/>
      <c r="G257" s="216"/>
      <c r="H257" s="217"/>
      <c r="I257" s="217"/>
      <c r="J257" s="215"/>
      <c r="K257" s="215"/>
      <c r="L257" s="217"/>
      <c r="M257" s="217"/>
      <c r="N257" s="215"/>
      <c r="O257" s="215"/>
      <c r="P257" s="217"/>
      <c r="Q257" s="216">
        <f>+Q256+Q255*0.25</f>
        <v>2574182556.7342496</v>
      </c>
      <c r="R257" s="217"/>
      <c r="S257" s="217"/>
      <c r="T257" s="217"/>
      <c r="U257" s="217"/>
      <c r="V257" s="218"/>
      <c r="W257" s="215"/>
      <c r="X257" s="215"/>
      <c r="Y257" s="215"/>
      <c r="Z257" s="215"/>
      <c r="AA257" s="215"/>
      <c r="AB257" s="215"/>
      <c r="AC257" s="215"/>
      <c r="AD257" s="215"/>
      <c r="AE257" s="215"/>
      <c r="AF257" s="215"/>
      <c r="AG257" s="215"/>
      <c r="AH257" s="215"/>
      <c r="AI257" s="215"/>
      <c r="AJ257" s="219"/>
      <c r="AK257" s="215"/>
      <c r="AL257" s="215"/>
      <c r="AM257" s="215"/>
      <c r="AN257" s="215"/>
      <c r="AO257" s="215"/>
      <c r="AP257" s="215"/>
      <c r="AQ257" s="215"/>
      <c r="AR257" s="215"/>
      <c r="AS257" s="215"/>
      <c r="AT257" s="215"/>
      <c r="AU257" s="215"/>
      <c r="AV257" s="215"/>
      <c r="AW257" s="215"/>
      <c r="AX257" s="215"/>
      <c r="AY257" s="215"/>
      <c r="AZ257" s="215"/>
      <c r="BA257" s="215"/>
      <c r="BB257" s="215"/>
      <c r="BC257" s="215"/>
      <c r="BD257" s="215"/>
      <c r="BE257" s="215"/>
      <c r="BF257" s="215"/>
      <c r="BG257" s="215"/>
      <c r="BH257" s="215"/>
      <c r="BI257" s="215"/>
      <c r="BJ257" s="215"/>
    </row>
    <row r="258" spans="1:62" x14ac:dyDescent="0.35">
      <c r="L258" s="202"/>
      <c r="P258" s="202"/>
      <c r="Q258" s="18"/>
      <c r="R258" s="202"/>
      <c r="S258" s="202"/>
      <c r="T258" s="202"/>
      <c r="U258" s="202"/>
      <c r="W258" s="24"/>
      <c r="X258" s="24"/>
      <c r="Y258" s="24"/>
      <c r="Z258" s="24"/>
      <c r="AA258" s="24"/>
      <c r="AB258" s="24"/>
      <c r="AC258" s="24"/>
      <c r="AD258" s="24"/>
      <c r="AE258" s="24"/>
      <c r="AF258" s="24"/>
      <c r="AG258" s="24"/>
      <c r="AH258" s="24"/>
      <c r="AI258" s="24"/>
      <c r="AJ258" s="25"/>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row>
    <row r="259" spans="1:62" x14ac:dyDescent="0.35">
      <c r="L259" s="202"/>
      <c r="P259" s="202"/>
      <c r="Q259" s="18"/>
      <c r="R259" s="202"/>
      <c r="S259" s="202"/>
      <c r="T259" s="202"/>
      <c r="U259" s="202"/>
      <c r="W259" s="24"/>
      <c r="X259" s="24"/>
      <c r="Y259" s="24"/>
      <c r="Z259" s="24"/>
      <c r="AA259" s="24"/>
      <c r="AB259" s="24"/>
      <c r="AC259" s="24"/>
      <c r="AD259" s="24"/>
      <c r="AE259" s="24"/>
      <c r="AF259" s="24"/>
      <c r="AG259" s="24"/>
      <c r="AH259" s="24"/>
      <c r="AI259" s="24"/>
      <c r="AJ259" s="25"/>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row>
    <row r="260" spans="1:62" x14ac:dyDescent="0.35">
      <c r="L260" s="202"/>
      <c r="P260" s="202"/>
      <c r="Q260" s="18"/>
      <c r="R260" s="202"/>
      <c r="S260" s="202"/>
      <c r="T260" s="202"/>
      <c r="U260" s="202"/>
      <c r="W260" s="24"/>
      <c r="X260" s="24"/>
      <c r="Y260" s="24"/>
      <c r="Z260" s="24"/>
      <c r="AA260" s="24"/>
      <c r="AB260" s="24"/>
      <c r="AC260" s="24"/>
      <c r="AD260" s="24"/>
      <c r="AE260" s="24"/>
      <c r="AF260" s="24"/>
      <c r="AG260" s="24"/>
      <c r="AH260" s="24"/>
      <c r="AI260" s="24"/>
      <c r="AJ260" s="25"/>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row>
    <row r="261" spans="1:62" x14ac:dyDescent="0.35">
      <c r="L261" s="202"/>
      <c r="P261" s="202"/>
      <c r="Q261" s="18"/>
      <c r="R261" s="202"/>
      <c r="S261" s="202"/>
      <c r="T261" s="202"/>
      <c r="U261" s="202"/>
      <c r="W261" s="24"/>
      <c r="X261" s="24"/>
      <c r="Y261" s="24"/>
      <c r="Z261" s="24"/>
      <c r="AA261" s="24"/>
      <c r="AB261" s="24"/>
      <c r="AC261" s="24"/>
      <c r="AD261" s="24"/>
      <c r="AE261" s="24"/>
      <c r="AF261" s="24"/>
      <c r="AG261" s="24"/>
      <c r="AH261" s="24"/>
      <c r="AI261" s="24"/>
      <c r="AJ261" s="25"/>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row>
    <row r="262" spans="1:62" x14ac:dyDescent="0.35">
      <c r="L262" s="202"/>
      <c r="P262" s="202"/>
      <c r="Q262" s="18"/>
      <c r="R262" s="202"/>
      <c r="S262" s="202"/>
      <c r="T262" s="202"/>
      <c r="U262" s="202"/>
      <c r="W262" s="24"/>
      <c r="X262" s="24"/>
      <c r="Y262" s="24"/>
      <c r="Z262" s="24"/>
      <c r="AA262" s="24"/>
      <c r="AB262" s="24"/>
      <c r="AC262" s="24"/>
      <c r="AD262" s="24"/>
      <c r="AE262" s="24"/>
      <c r="AF262" s="24"/>
      <c r="AG262" s="24"/>
      <c r="AH262" s="24"/>
      <c r="AI262" s="24"/>
      <c r="AJ262" s="25"/>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row>
    <row r="263" spans="1:62" x14ac:dyDescent="0.35">
      <c r="L263" s="202"/>
      <c r="P263" s="202"/>
      <c r="Q263" s="18"/>
      <c r="R263" s="202"/>
      <c r="S263" s="202"/>
      <c r="T263" s="202"/>
      <c r="U263" s="202"/>
      <c r="W263" s="24"/>
      <c r="X263" s="24"/>
      <c r="Y263" s="24"/>
      <c r="Z263" s="24"/>
      <c r="AA263" s="24"/>
      <c r="AB263" s="24"/>
      <c r="AC263" s="24"/>
      <c r="AD263" s="24"/>
      <c r="AE263" s="24"/>
      <c r="AF263" s="24"/>
      <c r="AG263" s="24"/>
      <c r="AH263" s="24"/>
      <c r="AI263" s="24"/>
      <c r="AJ263" s="25"/>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row>
    <row r="264" spans="1:62" x14ac:dyDescent="0.35">
      <c r="L264" s="202"/>
      <c r="P264" s="202"/>
      <c r="Q264" s="18"/>
      <c r="R264" s="202"/>
      <c r="S264" s="202"/>
      <c r="T264" s="202"/>
      <c r="U264" s="202"/>
      <c r="W264" s="24"/>
      <c r="X264" s="24"/>
      <c r="Y264" s="24"/>
      <c r="Z264" s="24"/>
      <c r="AA264" s="24"/>
      <c r="AB264" s="24"/>
      <c r="AC264" s="24"/>
      <c r="AD264" s="24"/>
      <c r="AE264" s="24"/>
      <c r="AF264" s="24"/>
      <c r="AG264" s="24"/>
      <c r="AH264" s="24"/>
      <c r="AI264" s="24"/>
      <c r="AJ264" s="25"/>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row>
    <row r="265" spans="1:62" x14ac:dyDescent="0.35">
      <c r="L265" s="202"/>
      <c r="P265" s="202"/>
      <c r="Q265" s="18"/>
      <c r="R265" s="202"/>
      <c r="S265" s="202"/>
      <c r="T265" s="202"/>
      <c r="U265" s="202"/>
      <c r="W265" s="24"/>
      <c r="X265" s="24"/>
      <c r="Y265" s="24"/>
      <c r="Z265" s="24"/>
      <c r="AA265" s="24"/>
      <c r="AB265" s="24"/>
      <c r="AC265" s="24"/>
      <c r="AD265" s="24"/>
      <c r="AE265" s="24"/>
      <c r="AF265" s="24"/>
      <c r="AG265" s="24"/>
      <c r="AH265" s="24"/>
      <c r="AI265" s="24"/>
      <c r="AJ265" s="25"/>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row>
    <row r="266" spans="1:62" x14ac:dyDescent="0.35">
      <c r="L266" s="202"/>
      <c r="P266" s="202"/>
      <c r="Q266" s="18"/>
      <c r="R266" s="202"/>
      <c r="S266" s="202"/>
      <c r="T266" s="202"/>
      <c r="U266" s="202"/>
      <c r="W266" s="24"/>
      <c r="X266" s="24"/>
      <c r="Y266" s="24"/>
      <c r="Z266" s="24"/>
      <c r="AA266" s="24"/>
      <c r="AB266" s="24"/>
      <c r="AC266" s="24"/>
      <c r="AD266" s="24"/>
      <c r="AE266" s="24"/>
      <c r="AF266" s="24"/>
      <c r="AG266" s="24"/>
      <c r="AH266" s="24"/>
      <c r="AI266" s="24"/>
      <c r="AJ266" s="25"/>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row>
    <row r="267" spans="1:62" x14ac:dyDescent="0.35">
      <c r="L267" s="202"/>
      <c r="P267" s="202"/>
      <c r="Q267" s="18"/>
      <c r="R267" s="202"/>
      <c r="S267" s="202"/>
      <c r="T267" s="202"/>
      <c r="U267" s="202"/>
      <c r="W267" s="24"/>
      <c r="X267" s="24"/>
      <c r="Y267" s="24"/>
      <c r="Z267" s="24"/>
      <c r="AA267" s="24"/>
      <c r="AB267" s="24"/>
      <c r="AC267" s="24"/>
      <c r="AD267" s="24"/>
      <c r="AE267" s="24"/>
      <c r="AF267" s="24"/>
      <c r="AG267" s="24"/>
      <c r="AH267" s="24"/>
      <c r="AI267" s="24"/>
      <c r="AJ267" s="25"/>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row>
    <row r="268" spans="1:62" x14ac:dyDescent="0.35">
      <c r="L268" s="202"/>
      <c r="P268" s="202"/>
      <c r="Q268" s="18"/>
      <c r="R268" s="202"/>
      <c r="S268" s="202"/>
      <c r="T268" s="202"/>
      <c r="U268" s="202"/>
      <c r="W268" s="24"/>
      <c r="X268" s="24"/>
      <c r="Y268" s="24"/>
      <c r="Z268" s="24"/>
      <c r="AA268" s="24"/>
      <c r="AB268" s="24"/>
      <c r="AC268" s="24"/>
      <c r="AD268" s="24"/>
      <c r="AE268" s="24"/>
      <c r="AF268" s="24"/>
      <c r="AG268" s="24"/>
      <c r="AH268" s="24"/>
      <c r="AI268" s="24"/>
      <c r="AJ268" s="25"/>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row>
    <row r="269" spans="1:62" x14ac:dyDescent="0.35">
      <c r="L269" s="202"/>
      <c r="P269" s="202"/>
      <c r="Q269" s="18"/>
      <c r="R269" s="202"/>
      <c r="S269" s="202"/>
      <c r="T269" s="202"/>
      <c r="U269" s="202"/>
      <c r="W269" s="24"/>
      <c r="X269" s="24"/>
      <c r="Y269" s="24"/>
      <c r="Z269" s="24"/>
      <c r="AA269" s="24"/>
      <c r="AB269" s="24"/>
      <c r="AC269" s="24"/>
      <c r="AD269" s="24"/>
      <c r="AE269" s="24"/>
      <c r="AF269" s="24"/>
      <c r="AG269" s="24"/>
      <c r="AH269" s="24"/>
      <c r="AI269" s="24"/>
      <c r="AJ269" s="25"/>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row>
    <row r="270" spans="1:62" x14ac:dyDescent="0.35">
      <c r="L270" s="202"/>
      <c r="P270" s="202"/>
      <c r="Q270" s="18"/>
      <c r="R270" s="202"/>
      <c r="S270" s="202"/>
      <c r="T270" s="202"/>
      <c r="U270" s="202"/>
      <c r="W270" s="24"/>
      <c r="X270" s="24"/>
      <c r="Y270" s="24"/>
      <c r="Z270" s="24"/>
      <c r="AA270" s="24"/>
      <c r="AB270" s="24"/>
      <c r="AC270" s="24"/>
      <c r="AD270" s="24"/>
      <c r="AE270" s="24"/>
      <c r="AF270" s="24"/>
      <c r="AG270" s="24"/>
      <c r="AH270" s="24"/>
      <c r="AI270" s="24"/>
      <c r="AJ270" s="25"/>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row>
    <row r="271" spans="1:62" x14ac:dyDescent="0.35">
      <c r="L271" s="202"/>
      <c r="P271" s="202"/>
      <c r="Q271" s="18"/>
      <c r="R271" s="202"/>
      <c r="S271" s="202"/>
      <c r="T271" s="202"/>
      <c r="U271" s="202"/>
      <c r="W271" s="24"/>
      <c r="X271" s="24"/>
      <c r="Y271" s="24"/>
      <c r="Z271" s="24"/>
      <c r="AA271" s="24"/>
      <c r="AB271" s="24"/>
      <c r="AC271" s="24"/>
      <c r="AD271" s="24"/>
      <c r="AE271" s="24"/>
      <c r="AF271" s="24"/>
      <c r="AG271" s="24"/>
      <c r="AH271" s="24"/>
      <c r="AI271" s="24"/>
      <c r="AJ271" s="25"/>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row>
    <row r="272" spans="1:62" x14ac:dyDescent="0.35">
      <c r="L272" s="202"/>
      <c r="P272" s="202"/>
      <c r="W272" s="24"/>
      <c r="X272" s="24"/>
      <c r="Y272" s="24"/>
      <c r="Z272" s="24"/>
      <c r="AA272" s="24"/>
      <c r="AB272" s="24"/>
      <c r="AC272" s="24"/>
      <c r="AD272" s="24"/>
      <c r="AE272" s="24"/>
      <c r="AF272" s="24"/>
      <c r="AG272" s="24"/>
      <c r="AH272" s="24"/>
      <c r="AI272" s="24"/>
      <c r="AJ272" s="25"/>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c r="BJ272" s="24"/>
    </row>
    <row r="273" spans="12:62" x14ac:dyDescent="0.35">
      <c r="L273" s="202"/>
      <c r="P273" s="202"/>
      <c r="W273" s="24"/>
      <c r="X273" s="24"/>
      <c r="Y273" s="24"/>
      <c r="Z273" s="24"/>
      <c r="AA273" s="24"/>
      <c r="AB273" s="24"/>
      <c r="AC273" s="24"/>
      <c r="AD273" s="24"/>
      <c r="AE273" s="24"/>
      <c r="AF273" s="24"/>
      <c r="AG273" s="24"/>
      <c r="AH273" s="24"/>
      <c r="AI273" s="24"/>
      <c r="AJ273" s="25"/>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row>
    <row r="274" spans="12:62" x14ac:dyDescent="0.35">
      <c r="L274" s="202"/>
      <c r="P274" s="202"/>
      <c r="W274" s="24"/>
      <c r="X274" s="24"/>
      <c r="Y274" s="24"/>
      <c r="Z274" s="24"/>
      <c r="AA274" s="24"/>
      <c r="AB274" s="24"/>
      <c r="AC274" s="24"/>
      <c r="AD274" s="24"/>
      <c r="AE274" s="24"/>
      <c r="AF274" s="24"/>
      <c r="AG274" s="24"/>
      <c r="AH274" s="24"/>
      <c r="AI274" s="24"/>
      <c r="AJ274" s="25"/>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row>
    <row r="275" spans="12:62" x14ac:dyDescent="0.35">
      <c r="L275" s="202"/>
      <c r="P275" s="202"/>
      <c r="W275" s="24"/>
      <c r="X275" s="24"/>
      <c r="Y275" s="24"/>
      <c r="Z275" s="24"/>
      <c r="AA275" s="24"/>
      <c r="AB275" s="24"/>
      <c r="AC275" s="24"/>
      <c r="AD275" s="24"/>
      <c r="AE275" s="24"/>
      <c r="AF275" s="24"/>
      <c r="AG275" s="24"/>
      <c r="AH275" s="24"/>
      <c r="AI275" s="24"/>
      <c r="AJ275" s="25"/>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row>
    <row r="276" spans="12:62" x14ac:dyDescent="0.35">
      <c r="L276" s="202"/>
      <c r="P276" s="202"/>
      <c r="W276" s="24"/>
      <c r="X276" s="24"/>
      <c r="Y276" s="24"/>
      <c r="Z276" s="24"/>
      <c r="AA276" s="24"/>
      <c r="AB276" s="24"/>
      <c r="AC276" s="24"/>
      <c r="AD276" s="24"/>
      <c r="AE276" s="24"/>
      <c r="AF276" s="24"/>
      <c r="AG276" s="24"/>
      <c r="AH276" s="24"/>
      <c r="AI276" s="24"/>
      <c r="AJ276" s="25"/>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row>
    <row r="277" spans="12:62" x14ac:dyDescent="0.35">
      <c r="L277" s="202"/>
      <c r="P277" s="202"/>
      <c r="W277" s="24"/>
      <c r="X277" s="24"/>
      <c r="Y277" s="24"/>
      <c r="Z277" s="24"/>
      <c r="AA277" s="24"/>
      <c r="AB277" s="24"/>
      <c r="AC277" s="24"/>
      <c r="AD277" s="24"/>
      <c r="AE277" s="24"/>
      <c r="AF277" s="24"/>
      <c r="AG277" s="24"/>
      <c r="AH277" s="24"/>
      <c r="AI277" s="24"/>
      <c r="AJ277" s="25"/>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row>
    <row r="278" spans="12:62" x14ac:dyDescent="0.35">
      <c r="L278" s="202"/>
      <c r="P278" s="202"/>
      <c r="W278" s="24"/>
      <c r="X278" s="24"/>
      <c r="Y278" s="24"/>
      <c r="Z278" s="24"/>
      <c r="AA278" s="24"/>
      <c r="AB278" s="24"/>
      <c r="AC278" s="24"/>
      <c r="AD278" s="24"/>
      <c r="AE278" s="24"/>
      <c r="AF278" s="24"/>
      <c r="AG278" s="24"/>
      <c r="AH278" s="24"/>
      <c r="AI278" s="24"/>
      <c r="AJ278" s="25"/>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row>
    <row r="279" spans="12:62" x14ac:dyDescent="0.35">
      <c r="L279" s="202"/>
      <c r="P279" s="202"/>
      <c r="W279" s="24"/>
      <c r="X279" s="24"/>
      <c r="Y279" s="24"/>
      <c r="Z279" s="24"/>
      <c r="AA279" s="24"/>
      <c r="AB279" s="24"/>
      <c r="AC279" s="24"/>
      <c r="AD279" s="24"/>
      <c r="AE279" s="24"/>
      <c r="AF279" s="24"/>
      <c r="AG279" s="24"/>
      <c r="AH279" s="24"/>
      <c r="AI279" s="24"/>
      <c r="AJ279" s="25"/>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row>
    <row r="280" spans="12:62" x14ac:dyDescent="0.35">
      <c r="L280" s="202"/>
      <c r="P280" s="202"/>
      <c r="W280" s="24"/>
      <c r="X280" s="24"/>
      <c r="Y280" s="24"/>
      <c r="Z280" s="24"/>
      <c r="AA280" s="24"/>
      <c r="AB280" s="24"/>
      <c r="AC280" s="24"/>
      <c r="AD280" s="24"/>
      <c r="AE280" s="24"/>
      <c r="AF280" s="24"/>
      <c r="AG280" s="24"/>
      <c r="AH280" s="24"/>
      <c r="AI280" s="24"/>
      <c r="AJ280" s="25"/>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row>
    <row r="281" spans="12:62" x14ac:dyDescent="0.35">
      <c r="L281" s="202"/>
      <c r="P281" s="202"/>
      <c r="W281" s="24"/>
      <c r="X281" s="24"/>
      <c r="Y281" s="24"/>
      <c r="Z281" s="24"/>
      <c r="AA281" s="24"/>
      <c r="AB281" s="24"/>
      <c r="AC281" s="24"/>
      <c r="AD281" s="24"/>
      <c r="AE281" s="24"/>
      <c r="AF281" s="24"/>
      <c r="AG281" s="24"/>
      <c r="AH281" s="24"/>
      <c r="AI281" s="24"/>
      <c r="AJ281" s="25"/>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row>
    <row r="282" spans="12:62" x14ac:dyDescent="0.35">
      <c r="L282" s="202"/>
      <c r="P282" s="202"/>
      <c r="W282" s="24"/>
      <c r="X282" s="24"/>
      <c r="Y282" s="24"/>
      <c r="Z282" s="24"/>
      <c r="AA282" s="24"/>
      <c r="AB282" s="24"/>
      <c r="AC282" s="24"/>
      <c r="AD282" s="24"/>
      <c r="AE282" s="24"/>
      <c r="AF282" s="24"/>
      <c r="AG282" s="24"/>
      <c r="AH282" s="24"/>
      <c r="AI282" s="24"/>
      <c r="AJ282" s="25"/>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row>
    <row r="283" spans="12:62" x14ac:dyDescent="0.35">
      <c r="L283" s="202"/>
      <c r="P283" s="202"/>
      <c r="W283" s="24"/>
      <c r="X283" s="24"/>
      <c r="Y283" s="24"/>
      <c r="Z283" s="24"/>
      <c r="AA283" s="24"/>
      <c r="AB283" s="24"/>
      <c r="AC283" s="24"/>
      <c r="AD283" s="24"/>
      <c r="AE283" s="24"/>
      <c r="AF283" s="24"/>
      <c r="AG283" s="24"/>
      <c r="AH283" s="24"/>
      <c r="AI283" s="24"/>
      <c r="AJ283" s="25"/>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row>
    <row r="284" spans="12:62" x14ac:dyDescent="0.35">
      <c r="L284" s="202"/>
      <c r="P284" s="202"/>
      <c r="W284" s="24"/>
      <c r="X284" s="24"/>
      <c r="Y284" s="24"/>
      <c r="Z284" s="24"/>
      <c r="AA284" s="24"/>
      <c r="AB284" s="24"/>
      <c r="AC284" s="24"/>
      <c r="AD284" s="24"/>
      <c r="AE284" s="24"/>
      <c r="AF284" s="24"/>
      <c r="AG284" s="24"/>
      <c r="AH284" s="24"/>
      <c r="AI284" s="24"/>
      <c r="AJ284" s="25"/>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c r="BJ284" s="24"/>
    </row>
    <row r="285" spans="12:62" x14ac:dyDescent="0.35">
      <c r="L285" s="202"/>
      <c r="P285" s="202"/>
      <c r="W285" s="24"/>
      <c r="X285" s="24"/>
      <c r="Y285" s="24"/>
      <c r="Z285" s="24"/>
      <c r="AA285" s="24"/>
      <c r="AB285" s="24"/>
      <c r="AC285" s="24"/>
      <c r="AD285" s="24"/>
      <c r="AE285" s="24"/>
      <c r="AF285" s="24"/>
      <c r="AG285" s="24"/>
      <c r="AH285" s="24"/>
      <c r="AI285" s="24"/>
      <c r="AJ285" s="25"/>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row>
    <row r="286" spans="12:62" x14ac:dyDescent="0.35">
      <c r="L286" s="202"/>
      <c r="P286" s="202"/>
      <c r="W286" s="24"/>
      <c r="X286" s="24"/>
      <c r="Y286" s="24"/>
      <c r="Z286" s="24"/>
      <c r="AA286" s="24"/>
      <c r="AB286" s="24"/>
      <c r="AC286" s="24"/>
      <c r="AD286" s="24"/>
      <c r="AE286" s="24"/>
      <c r="AF286" s="24"/>
      <c r="AG286" s="24"/>
      <c r="AH286" s="24"/>
      <c r="AI286" s="24"/>
      <c r="AJ286" s="25"/>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row>
    <row r="287" spans="12:62" x14ac:dyDescent="0.35">
      <c r="L287" s="202"/>
      <c r="P287" s="202"/>
      <c r="W287" s="24"/>
      <c r="X287" s="24"/>
      <c r="Y287" s="24"/>
      <c r="Z287" s="24"/>
      <c r="AA287" s="24"/>
      <c r="AB287" s="24"/>
      <c r="AC287" s="24"/>
      <c r="AD287" s="24"/>
      <c r="AE287" s="24"/>
      <c r="AF287" s="24"/>
      <c r="AG287" s="24"/>
      <c r="AH287" s="24"/>
      <c r="AI287" s="24"/>
      <c r="AJ287" s="25"/>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row>
    <row r="288" spans="12:62" x14ac:dyDescent="0.35">
      <c r="L288" s="202"/>
      <c r="P288" s="202"/>
      <c r="W288" s="24"/>
      <c r="X288" s="24"/>
      <c r="Y288" s="24"/>
      <c r="Z288" s="24"/>
      <c r="AA288" s="24"/>
      <c r="AB288" s="24"/>
      <c r="AC288" s="24"/>
      <c r="AD288" s="24"/>
      <c r="AE288" s="24"/>
      <c r="AF288" s="24"/>
      <c r="AG288" s="24"/>
      <c r="AH288" s="24"/>
      <c r="AI288" s="24"/>
      <c r="AJ288" s="25"/>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row>
    <row r="289" spans="12:62" x14ac:dyDescent="0.35">
      <c r="L289" s="202"/>
      <c r="P289" s="202"/>
      <c r="W289" s="24"/>
      <c r="X289" s="24"/>
      <c r="Y289" s="24"/>
      <c r="Z289" s="24"/>
      <c r="AA289" s="24"/>
      <c r="AB289" s="24"/>
      <c r="AC289" s="24"/>
      <c r="AD289" s="24"/>
      <c r="AE289" s="24"/>
      <c r="AF289" s="24"/>
      <c r="AG289" s="24"/>
      <c r="AH289" s="24"/>
      <c r="AI289" s="24"/>
      <c r="AJ289" s="25"/>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row>
    <row r="290" spans="12:62" x14ac:dyDescent="0.35">
      <c r="L290" s="202"/>
      <c r="P290" s="202"/>
      <c r="W290" s="24"/>
      <c r="X290" s="24"/>
      <c r="Y290" s="24"/>
      <c r="Z290" s="24"/>
      <c r="AA290" s="24"/>
      <c r="AB290" s="24"/>
      <c r="AC290" s="24"/>
      <c r="AD290" s="24"/>
      <c r="AE290" s="24"/>
      <c r="AF290" s="24"/>
      <c r="AG290" s="24"/>
      <c r="AH290" s="24"/>
      <c r="AI290" s="24"/>
      <c r="AJ290" s="25"/>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row>
    <row r="291" spans="12:62" x14ac:dyDescent="0.35">
      <c r="L291" s="202"/>
      <c r="P291" s="202"/>
      <c r="W291" s="24"/>
      <c r="X291" s="24"/>
      <c r="Y291" s="24"/>
      <c r="Z291" s="24"/>
      <c r="AA291" s="24"/>
      <c r="AB291" s="24"/>
      <c r="AC291" s="24"/>
      <c r="AD291" s="24"/>
      <c r="AE291" s="24"/>
      <c r="AF291" s="24"/>
      <c r="AG291" s="24"/>
      <c r="AH291" s="24"/>
      <c r="AI291" s="24"/>
      <c r="AJ291" s="25"/>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row>
    <row r="292" spans="12:62" x14ac:dyDescent="0.35">
      <c r="L292" s="202"/>
      <c r="P292" s="202"/>
      <c r="W292" s="24"/>
      <c r="X292" s="24"/>
      <c r="Y292" s="24"/>
      <c r="Z292" s="24"/>
      <c r="AA292" s="24"/>
      <c r="AB292" s="24"/>
      <c r="AC292" s="24"/>
      <c r="AD292" s="24"/>
      <c r="AE292" s="24"/>
      <c r="AF292" s="24"/>
      <c r="AG292" s="24"/>
      <c r="AH292" s="24"/>
      <c r="AI292" s="24"/>
      <c r="AJ292" s="25"/>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row>
    <row r="293" spans="12:62" x14ac:dyDescent="0.35">
      <c r="L293" s="202"/>
      <c r="P293" s="202"/>
      <c r="W293" s="24"/>
      <c r="X293" s="24"/>
      <c r="Y293" s="24"/>
      <c r="Z293" s="24"/>
      <c r="AA293" s="24"/>
      <c r="AB293" s="24"/>
      <c r="AC293" s="24"/>
      <c r="AD293" s="24"/>
      <c r="AE293" s="24"/>
      <c r="AF293" s="24"/>
      <c r="AG293" s="24"/>
      <c r="AH293" s="24"/>
      <c r="AI293" s="24"/>
      <c r="AJ293" s="25"/>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row>
    <row r="294" spans="12:62" x14ac:dyDescent="0.35">
      <c r="L294" s="202"/>
      <c r="P294" s="202"/>
      <c r="W294" s="24"/>
      <c r="X294" s="24"/>
      <c r="Y294" s="24"/>
      <c r="Z294" s="24"/>
      <c r="AA294" s="24"/>
      <c r="AB294" s="24"/>
      <c r="AC294" s="24"/>
      <c r="AD294" s="24"/>
      <c r="AE294" s="24"/>
      <c r="AF294" s="24"/>
      <c r="AG294" s="24"/>
      <c r="AH294" s="24"/>
      <c r="AI294" s="24"/>
      <c r="AJ294" s="25"/>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row>
    <row r="295" spans="12:62" x14ac:dyDescent="0.35">
      <c r="L295" s="202"/>
      <c r="P295" s="202"/>
      <c r="W295" s="24"/>
      <c r="X295" s="24"/>
      <c r="Y295" s="24"/>
      <c r="Z295" s="24"/>
      <c r="AA295" s="24"/>
      <c r="AB295" s="24"/>
      <c r="AC295" s="24"/>
      <c r="AD295" s="24"/>
      <c r="AE295" s="24"/>
      <c r="AF295" s="24"/>
      <c r="AG295" s="24"/>
      <c r="AH295" s="24"/>
      <c r="AI295" s="24"/>
      <c r="AJ295" s="25"/>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row>
    <row r="296" spans="12:62" x14ac:dyDescent="0.35">
      <c r="L296" s="202"/>
      <c r="P296" s="202"/>
      <c r="W296" s="24"/>
      <c r="X296" s="24"/>
      <c r="Y296" s="24"/>
      <c r="Z296" s="24"/>
      <c r="AA296" s="24"/>
      <c r="AB296" s="24"/>
      <c r="AC296" s="24"/>
      <c r="AD296" s="24"/>
      <c r="AE296" s="24"/>
      <c r="AF296" s="24"/>
      <c r="AG296" s="24"/>
      <c r="AH296" s="24"/>
      <c r="AI296" s="24"/>
      <c r="AJ296" s="25"/>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row>
    <row r="297" spans="12:62" x14ac:dyDescent="0.35">
      <c r="L297" s="202"/>
      <c r="P297" s="202"/>
      <c r="W297" s="24"/>
      <c r="X297" s="24"/>
      <c r="Y297" s="24"/>
      <c r="Z297" s="24"/>
      <c r="AA297" s="24"/>
      <c r="AB297" s="24"/>
      <c r="AC297" s="24"/>
      <c r="AD297" s="24"/>
      <c r="AE297" s="24"/>
      <c r="AF297" s="24"/>
      <c r="AG297" s="24"/>
      <c r="AH297" s="24"/>
      <c r="AI297" s="24"/>
      <c r="AJ297" s="25"/>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row>
    <row r="298" spans="12:62" x14ac:dyDescent="0.35">
      <c r="L298" s="202"/>
      <c r="P298" s="202"/>
      <c r="W298" s="24"/>
      <c r="X298" s="24"/>
      <c r="Y298" s="24"/>
      <c r="Z298" s="24"/>
      <c r="AA298" s="24"/>
      <c r="AB298" s="24"/>
      <c r="AC298" s="24"/>
      <c r="AD298" s="24"/>
      <c r="AE298" s="24"/>
      <c r="AF298" s="24"/>
      <c r="AG298" s="24"/>
      <c r="AH298" s="24"/>
      <c r="AI298" s="24"/>
      <c r="AJ298" s="25"/>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row>
    <row r="299" spans="12:62" x14ac:dyDescent="0.35">
      <c r="L299" s="202"/>
      <c r="P299" s="202"/>
      <c r="W299" s="24"/>
      <c r="X299" s="24"/>
      <c r="Y299" s="24"/>
      <c r="Z299" s="24"/>
      <c r="AA299" s="24"/>
      <c r="AB299" s="24"/>
      <c r="AC299" s="24"/>
      <c r="AD299" s="24"/>
      <c r="AE299" s="24"/>
      <c r="AF299" s="24"/>
      <c r="AG299" s="24"/>
      <c r="AH299" s="24"/>
      <c r="AI299" s="24"/>
      <c r="AJ299" s="25"/>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row>
    <row r="300" spans="12:62" x14ac:dyDescent="0.35">
      <c r="L300" s="202"/>
      <c r="P300" s="202"/>
      <c r="W300" s="24"/>
      <c r="X300" s="24"/>
      <c r="Y300" s="24"/>
      <c r="Z300" s="24"/>
      <c r="AA300" s="24"/>
      <c r="AB300" s="24"/>
      <c r="AC300" s="24"/>
      <c r="AD300" s="24"/>
      <c r="AE300" s="24"/>
      <c r="AF300" s="24"/>
      <c r="AG300" s="24"/>
      <c r="AH300" s="24"/>
      <c r="AI300" s="24"/>
      <c r="AJ300" s="25"/>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row>
    <row r="301" spans="12:62" x14ac:dyDescent="0.35">
      <c r="L301" s="202"/>
      <c r="P301" s="202"/>
      <c r="W301" s="24"/>
      <c r="X301" s="24"/>
      <c r="Y301" s="24"/>
      <c r="Z301" s="24"/>
      <c r="AA301" s="24"/>
      <c r="AB301" s="24"/>
      <c r="AC301" s="24"/>
      <c r="AD301" s="24"/>
      <c r="AE301" s="24"/>
      <c r="AF301" s="24"/>
      <c r="AG301" s="24"/>
      <c r="AH301" s="24"/>
      <c r="AI301" s="24"/>
      <c r="AJ301" s="25"/>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row>
    <row r="302" spans="12:62" x14ac:dyDescent="0.35">
      <c r="L302" s="202"/>
      <c r="P302" s="202"/>
      <c r="W302" s="24"/>
      <c r="X302" s="24"/>
      <c r="Y302" s="24"/>
      <c r="Z302" s="24"/>
      <c r="AA302" s="24"/>
      <c r="AB302" s="24"/>
      <c r="AC302" s="24"/>
      <c r="AD302" s="24"/>
      <c r="AE302" s="24"/>
      <c r="AF302" s="24"/>
      <c r="AG302" s="24"/>
      <c r="AH302" s="24"/>
      <c r="AI302" s="24"/>
      <c r="AJ302" s="25"/>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row>
    <row r="303" spans="12:62" x14ac:dyDescent="0.35">
      <c r="L303" s="202"/>
      <c r="P303" s="202"/>
      <c r="W303" s="24"/>
      <c r="X303" s="24"/>
      <c r="Y303" s="24"/>
      <c r="Z303" s="24"/>
      <c r="AA303" s="24"/>
      <c r="AB303" s="24"/>
      <c r="AC303" s="24"/>
      <c r="AD303" s="24"/>
      <c r="AE303" s="24"/>
      <c r="AF303" s="24"/>
      <c r="AG303" s="24"/>
      <c r="AH303" s="24"/>
      <c r="AI303" s="24"/>
      <c r="AJ303" s="25"/>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row>
    <row r="304" spans="12:62" x14ac:dyDescent="0.35">
      <c r="L304" s="202"/>
      <c r="P304" s="202"/>
      <c r="W304" s="24"/>
      <c r="X304" s="24"/>
      <c r="Y304" s="24"/>
      <c r="Z304" s="24"/>
      <c r="AA304" s="24"/>
      <c r="AB304" s="24"/>
      <c r="AC304" s="24"/>
      <c r="AD304" s="24"/>
      <c r="AE304" s="24"/>
      <c r="AF304" s="24"/>
      <c r="AG304" s="24"/>
      <c r="AH304" s="24"/>
      <c r="AI304" s="24"/>
      <c r="AJ304" s="25"/>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row>
    <row r="305" spans="12:62" x14ac:dyDescent="0.35">
      <c r="L305" s="202"/>
      <c r="P305" s="202"/>
      <c r="W305" s="24"/>
      <c r="X305" s="24"/>
      <c r="Y305" s="24"/>
      <c r="Z305" s="24"/>
      <c r="AA305" s="24"/>
      <c r="AB305" s="24"/>
      <c r="AC305" s="24"/>
      <c r="AD305" s="24"/>
      <c r="AE305" s="24"/>
      <c r="AF305" s="24"/>
      <c r="AG305" s="24"/>
      <c r="AH305" s="24"/>
      <c r="AI305" s="24"/>
      <c r="AJ305" s="25"/>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row>
    <row r="306" spans="12:62" x14ac:dyDescent="0.35">
      <c r="L306" s="202"/>
      <c r="P306" s="202"/>
      <c r="W306" s="24"/>
      <c r="X306" s="24"/>
      <c r="Y306" s="24"/>
      <c r="Z306" s="24"/>
      <c r="AA306" s="24"/>
      <c r="AB306" s="24"/>
      <c r="AC306" s="24"/>
      <c r="AD306" s="24"/>
      <c r="AE306" s="24"/>
      <c r="AF306" s="24"/>
      <c r="AG306" s="24"/>
      <c r="AH306" s="24"/>
      <c r="AI306" s="24"/>
      <c r="AJ306" s="25"/>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row>
    <row r="307" spans="12:62" x14ac:dyDescent="0.35">
      <c r="L307" s="202"/>
      <c r="P307" s="202"/>
      <c r="W307" s="24"/>
      <c r="X307" s="24"/>
      <c r="Y307" s="24"/>
      <c r="Z307" s="24"/>
      <c r="AA307" s="24"/>
      <c r="AB307" s="24"/>
      <c r="AC307" s="24"/>
      <c r="AD307" s="24"/>
      <c r="AE307" s="24"/>
      <c r="AF307" s="24"/>
      <c r="AG307" s="24"/>
      <c r="AH307" s="24"/>
      <c r="AI307" s="24"/>
      <c r="AJ307" s="25"/>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row>
    <row r="308" spans="12:62" x14ac:dyDescent="0.35">
      <c r="L308" s="202"/>
      <c r="P308" s="202"/>
      <c r="W308" s="24"/>
      <c r="X308" s="24"/>
      <c r="Y308" s="24"/>
      <c r="Z308" s="24"/>
      <c r="AA308" s="24"/>
      <c r="AB308" s="24"/>
      <c r="AC308" s="24"/>
      <c r="AD308" s="24"/>
      <c r="AE308" s="24"/>
      <c r="AF308" s="24"/>
      <c r="AG308" s="24"/>
      <c r="AH308" s="24"/>
      <c r="AI308" s="24"/>
      <c r="AJ308" s="25"/>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row>
    <row r="309" spans="12:62" x14ac:dyDescent="0.35">
      <c r="L309" s="202"/>
      <c r="P309" s="202"/>
      <c r="W309" s="24"/>
      <c r="X309" s="24"/>
      <c r="Y309" s="24"/>
      <c r="Z309" s="24"/>
      <c r="AA309" s="24"/>
      <c r="AB309" s="24"/>
      <c r="AC309" s="24"/>
      <c r="AD309" s="24"/>
      <c r="AE309" s="24"/>
      <c r="AF309" s="24"/>
      <c r="AG309" s="24"/>
      <c r="AH309" s="24"/>
      <c r="AI309" s="24"/>
      <c r="AJ309" s="25"/>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row>
    <row r="310" spans="12:62" x14ac:dyDescent="0.35">
      <c r="L310" s="202"/>
      <c r="P310" s="202"/>
      <c r="W310" s="24"/>
      <c r="X310" s="24"/>
      <c r="Y310" s="24"/>
      <c r="Z310" s="24"/>
      <c r="AA310" s="24"/>
      <c r="AB310" s="24"/>
      <c r="AC310" s="24"/>
      <c r="AD310" s="24"/>
      <c r="AE310" s="24"/>
      <c r="AF310" s="24"/>
      <c r="AG310" s="24"/>
      <c r="AH310" s="24"/>
      <c r="AI310" s="24"/>
      <c r="AJ310" s="25"/>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row>
    <row r="311" spans="12:62" x14ac:dyDescent="0.35">
      <c r="L311" s="202"/>
      <c r="P311" s="202"/>
      <c r="W311" s="24"/>
      <c r="X311" s="24"/>
      <c r="Y311" s="24"/>
      <c r="Z311" s="24"/>
      <c r="AA311" s="24"/>
      <c r="AB311" s="24"/>
      <c r="AC311" s="24"/>
      <c r="AD311" s="24"/>
      <c r="AE311" s="24"/>
      <c r="AF311" s="24"/>
      <c r="AG311" s="24"/>
      <c r="AH311" s="24"/>
      <c r="AI311" s="24"/>
      <c r="AJ311" s="25"/>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row>
    <row r="312" spans="12:62" x14ac:dyDescent="0.35">
      <c r="L312" s="202"/>
      <c r="P312" s="202"/>
      <c r="W312" s="24"/>
      <c r="X312" s="24"/>
      <c r="Y312" s="24"/>
      <c r="Z312" s="24"/>
      <c r="AA312" s="24"/>
      <c r="AB312" s="24"/>
      <c r="AC312" s="24"/>
      <c r="AD312" s="24"/>
      <c r="AE312" s="24"/>
      <c r="AF312" s="24"/>
      <c r="AG312" s="24"/>
      <c r="AH312" s="24"/>
      <c r="AI312" s="24"/>
      <c r="AJ312" s="25"/>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row>
    <row r="313" spans="12:62" x14ac:dyDescent="0.35">
      <c r="L313" s="202"/>
      <c r="P313" s="202"/>
      <c r="W313" s="24"/>
      <c r="X313" s="24"/>
      <c r="Y313" s="24"/>
      <c r="Z313" s="24"/>
      <c r="AA313" s="24"/>
      <c r="AB313" s="24"/>
      <c r="AC313" s="24"/>
      <c r="AD313" s="24"/>
      <c r="AE313" s="24"/>
      <c r="AF313" s="24"/>
      <c r="AG313" s="24"/>
      <c r="AH313" s="24"/>
      <c r="AI313" s="24"/>
      <c r="AJ313" s="25"/>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row>
    <row r="314" spans="12:62" x14ac:dyDescent="0.35">
      <c r="L314" s="202"/>
      <c r="P314" s="202"/>
      <c r="W314" s="24"/>
      <c r="X314" s="24"/>
      <c r="Y314" s="24"/>
      <c r="Z314" s="24"/>
      <c r="AA314" s="24"/>
      <c r="AB314" s="24"/>
      <c r="AC314" s="24"/>
      <c r="AD314" s="24"/>
      <c r="AE314" s="24"/>
      <c r="AF314" s="24"/>
      <c r="AG314" s="24"/>
      <c r="AH314" s="24"/>
      <c r="AI314" s="24"/>
      <c r="AJ314" s="25"/>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row>
    <row r="315" spans="12:62" x14ac:dyDescent="0.35">
      <c r="L315" s="202"/>
      <c r="P315" s="202"/>
      <c r="W315" s="24"/>
      <c r="X315" s="24"/>
      <c r="Y315" s="24"/>
      <c r="Z315" s="24"/>
      <c r="AA315" s="24"/>
      <c r="AB315" s="24"/>
      <c r="AC315" s="24"/>
      <c r="AD315" s="24"/>
      <c r="AE315" s="24"/>
      <c r="AF315" s="24"/>
      <c r="AG315" s="24"/>
      <c r="AH315" s="24"/>
      <c r="AI315" s="24"/>
      <c r="AJ315" s="25"/>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row>
    <row r="316" spans="12:62" x14ac:dyDescent="0.35">
      <c r="L316" s="202"/>
      <c r="P316" s="202"/>
      <c r="W316" s="24"/>
      <c r="X316" s="24"/>
      <c r="Y316" s="24"/>
      <c r="Z316" s="24"/>
      <c r="AA316" s="24"/>
      <c r="AB316" s="24"/>
      <c r="AC316" s="24"/>
      <c r="AD316" s="24"/>
      <c r="AE316" s="24"/>
      <c r="AF316" s="24"/>
      <c r="AG316" s="24"/>
      <c r="AH316" s="24"/>
      <c r="AI316" s="24"/>
      <c r="AJ316" s="25"/>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row>
    <row r="317" spans="12:62" x14ac:dyDescent="0.35">
      <c r="L317" s="202"/>
      <c r="P317" s="202"/>
      <c r="W317" s="24"/>
      <c r="X317" s="24"/>
      <c r="Y317" s="24"/>
      <c r="Z317" s="24"/>
      <c r="AA317" s="24"/>
      <c r="AB317" s="24"/>
      <c r="AC317" s="24"/>
      <c r="AD317" s="24"/>
      <c r="AE317" s="24"/>
      <c r="AF317" s="24"/>
      <c r="AG317" s="24"/>
      <c r="AH317" s="24"/>
      <c r="AI317" s="24"/>
      <c r="AJ317" s="25"/>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row>
    <row r="318" spans="12:62" x14ac:dyDescent="0.35">
      <c r="L318" s="202"/>
      <c r="P318" s="202"/>
      <c r="W318" s="24"/>
      <c r="X318" s="24"/>
      <c r="Y318" s="24"/>
      <c r="Z318" s="24"/>
      <c r="AA318" s="24"/>
      <c r="AB318" s="24"/>
      <c r="AC318" s="24"/>
      <c r="AD318" s="24"/>
      <c r="AE318" s="24"/>
      <c r="AF318" s="24"/>
      <c r="AG318" s="24"/>
      <c r="AH318" s="24"/>
      <c r="AI318" s="24"/>
      <c r="AJ318" s="25"/>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row>
    <row r="319" spans="12:62" x14ac:dyDescent="0.35">
      <c r="L319" s="202"/>
      <c r="P319" s="202"/>
      <c r="W319" s="24"/>
      <c r="X319" s="24"/>
      <c r="Y319" s="24"/>
      <c r="Z319" s="24"/>
      <c r="AA319" s="24"/>
      <c r="AB319" s="24"/>
      <c r="AC319" s="24"/>
      <c r="AD319" s="24"/>
      <c r="AE319" s="24"/>
      <c r="AF319" s="24"/>
      <c r="AG319" s="24"/>
      <c r="AH319" s="24"/>
      <c r="AI319" s="24"/>
      <c r="AJ319" s="25"/>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row>
    <row r="320" spans="12:62" x14ac:dyDescent="0.35">
      <c r="L320" s="202"/>
      <c r="P320" s="202"/>
      <c r="W320" s="24"/>
      <c r="X320" s="24"/>
      <c r="Y320" s="24"/>
      <c r="Z320" s="24"/>
      <c r="AA320" s="24"/>
      <c r="AB320" s="24"/>
      <c r="AC320" s="24"/>
      <c r="AD320" s="24"/>
      <c r="AE320" s="24"/>
      <c r="AF320" s="24"/>
      <c r="AG320" s="24"/>
      <c r="AH320" s="24"/>
      <c r="AI320" s="24"/>
      <c r="AJ320" s="25"/>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row>
    <row r="321" spans="12:62" x14ac:dyDescent="0.35">
      <c r="L321" s="202"/>
      <c r="P321" s="202"/>
      <c r="W321" s="24"/>
      <c r="X321" s="24"/>
      <c r="Y321" s="24"/>
      <c r="Z321" s="24"/>
      <c r="AA321" s="24"/>
      <c r="AB321" s="24"/>
      <c r="AC321" s="24"/>
      <c r="AD321" s="24"/>
      <c r="AE321" s="24"/>
      <c r="AF321" s="24"/>
      <c r="AG321" s="24"/>
      <c r="AH321" s="24"/>
      <c r="AI321" s="24"/>
      <c r="AJ321" s="25"/>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row>
    <row r="322" spans="12:62" x14ac:dyDescent="0.35">
      <c r="L322" s="202"/>
      <c r="P322" s="202"/>
      <c r="W322" s="24"/>
      <c r="X322" s="24"/>
      <c r="Y322" s="24"/>
      <c r="Z322" s="24"/>
      <c r="AA322" s="24"/>
      <c r="AB322" s="24"/>
      <c r="AC322" s="24"/>
      <c r="AD322" s="24"/>
      <c r="AE322" s="24"/>
      <c r="AF322" s="24"/>
      <c r="AG322" s="24"/>
      <c r="AH322" s="24"/>
      <c r="AI322" s="24"/>
      <c r="AJ322" s="25"/>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row>
    <row r="323" spans="12:62" x14ac:dyDescent="0.35">
      <c r="L323" s="202"/>
      <c r="P323" s="202"/>
      <c r="W323" s="24"/>
      <c r="X323" s="24"/>
      <c r="Y323" s="24"/>
      <c r="Z323" s="24"/>
      <c r="AA323" s="24"/>
      <c r="AB323" s="24"/>
      <c r="AC323" s="24"/>
      <c r="AD323" s="24"/>
      <c r="AE323" s="24"/>
      <c r="AF323" s="24"/>
      <c r="AG323" s="24"/>
      <c r="AH323" s="24"/>
      <c r="AI323" s="24"/>
      <c r="AJ323" s="25"/>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row>
    <row r="324" spans="12:62" x14ac:dyDescent="0.35">
      <c r="L324" s="202"/>
      <c r="P324" s="202"/>
      <c r="W324" s="24"/>
      <c r="X324" s="24"/>
      <c r="Y324" s="24"/>
      <c r="Z324" s="24"/>
      <c r="AA324" s="24"/>
      <c r="AB324" s="24"/>
      <c r="AC324" s="24"/>
      <c r="AD324" s="24"/>
      <c r="AE324" s="24"/>
      <c r="AF324" s="24"/>
      <c r="AG324" s="24"/>
      <c r="AH324" s="24"/>
      <c r="AI324" s="24"/>
      <c r="AJ324" s="25"/>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row>
    <row r="325" spans="12:62" x14ac:dyDescent="0.35">
      <c r="L325" s="202"/>
      <c r="P325" s="202"/>
      <c r="W325" s="24"/>
      <c r="X325" s="24"/>
      <c r="Y325" s="24"/>
      <c r="Z325" s="24"/>
      <c r="AA325" s="24"/>
      <c r="AB325" s="24"/>
      <c r="AC325" s="24"/>
      <c r="AD325" s="24"/>
      <c r="AE325" s="24"/>
      <c r="AF325" s="24"/>
      <c r="AG325" s="24"/>
      <c r="AH325" s="24"/>
      <c r="AI325" s="24"/>
      <c r="AJ325" s="25"/>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row>
    <row r="326" spans="12:62" x14ac:dyDescent="0.35">
      <c r="L326" s="202"/>
      <c r="P326" s="202"/>
      <c r="W326" s="24"/>
      <c r="X326" s="24"/>
      <c r="Y326" s="24"/>
      <c r="Z326" s="24"/>
      <c r="AA326" s="24"/>
      <c r="AB326" s="24"/>
      <c r="AC326" s="24"/>
      <c r="AD326" s="24"/>
      <c r="AE326" s="24"/>
      <c r="AF326" s="24"/>
      <c r="AG326" s="24"/>
      <c r="AH326" s="24"/>
      <c r="AI326" s="24"/>
      <c r="AJ326" s="25"/>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row>
    <row r="327" spans="12:62" x14ac:dyDescent="0.35">
      <c r="L327" s="202"/>
      <c r="P327" s="202"/>
      <c r="W327" s="24"/>
      <c r="X327" s="24"/>
      <c r="Y327" s="24"/>
      <c r="Z327" s="24"/>
      <c r="AA327" s="24"/>
      <c r="AB327" s="24"/>
      <c r="AC327" s="24"/>
      <c r="AD327" s="24"/>
      <c r="AE327" s="24"/>
      <c r="AF327" s="24"/>
      <c r="AG327" s="24"/>
      <c r="AH327" s="24"/>
      <c r="AI327" s="24"/>
      <c r="AJ327" s="25"/>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row>
    <row r="328" spans="12:62" x14ac:dyDescent="0.35">
      <c r="L328" s="202"/>
      <c r="P328" s="202"/>
      <c r="W328" s="24"/>
      <c r="X328" s="24"/>
      <c r="Y328" s="24"/>
      <c r="Z328" s="24"/>
      <c r="AA328" s="24"/>
      <c r="AB328" s="24"/>
      <c r="AC328" s="24"/>
      <c r="AD328" s="24"/>
      <c r="AE328" s="24"/>
      <c r="AF328" s="24"/>
      <c r="AG328" s="24"/>
      <c r="AH328" s="24"/>
      <c r="AI328" s="24"/>
      <c r="AJ328" s="25"/>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row>
    <row r="329" spans="12:62" x14ac:dyDescent="0.35">
      <c r="L329" s="202"/>
      <c r="P329" s="202"/>
      <c r="W329" s="24"/>
      <c r="X329" s="24"/>
      <c r="Y329" s="24"/>
      <c r="Z329" s="24"/>
      <c r="AA329" s="24"/>
      <c r="AB329" s="24"/>
      <c r="AC329" s="24"/>
      <c r="AD329" s="24"/>
      <c r="AE329" s="24"/>
      <c r="AF329" s="24"/>
      <c r="AG329" s="24"/>
      <c r="AH329" s="24"/>
      <c r="AI329" s="24"/>
      <c r="AJ329" s="25"/>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row>
    <row r="330" spans="12:62" x14ac:dyDescent="0.35">
      <c r="L330" s="202"/>
      <c r="P330" s="202"/>
      <c r="W330" s="24"/>
      <c r="X330" s="24"/>
      <c r="Y330" s="24"/>
      <c r="Z330" s="24"/>
      <c r="AA330" s="24"/>
      <c r="AB330" s="24"/>
      <c r="AC330" s="24"/>
      <c r="AD330" s="24"/>
      <c r="AE330" s="24"/>
      <c r="AF330" s="24"/>
      <c r="AG330" s="24"/>
      <c r="AH330" s="24"/>
      <c r="AI330" s="24"/>
      <c r="AJ330" s="25"/>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row>
    <row r="331" spans="12:62" x14ac:dyDescent="0.35">
      <c r="L331" s="202"/>
      <c r="P331" s="202"/>
      <c r="W331" s="24"/>
      <c r="X331" s="24"/>
      <c r="Y331" s="24"/>
      <c r="Z331" s="24"/>
      <c r="AA331" s="24"/>
      <c r="AB331" s="24"/>
      <c r="AC331" s="24"/>
      <c r="AD331" s="24"/>
      <c r="AE331" s="24"/>
      <c r="AF331" s="24"/>
      <c r="AG331" s="24"/>
      <c r="AH331" s="24"/>
      <c r="AI331" s="24"/>
      <c r="AJ331" s="25"/>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row>
    <row r="332" spans="12:62" x14ac:dyDescent="0.35">
      <c r="L332" s="202"/>
      <c r="P332" s="202"/>
      <c r="W332" s="24"/>
      <c r="X332" s="24"/>
      <c r="Y332" s="24"/>
      <c r="Z332" s="24"/>
      <c r="AA332" s="24"/>
      <c r="AB332" s="24"/>
      <c r="AC332" s="24"/>
      <c r="AD332" s="24"/>
      <c r="AE332" s="24"/>
      <c r="AF332" s="24"/>
      <c r="AG332" s="24"/>
      <c r="AH332" s="24"/>
      <c r="AI332" s="24"/>
      <c r="AJ332" s="25"/>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row>
    <row r="333" spans="12:62" x14ac:dyDescent="0.35">
      <c r="L333" s="202"/>
      <c r="P333" s="202"/>
      <c r="W333" s="24"/>
      <c r="X333" s="24"/>
      <c r="Y333" s="24"/>
      <c r="Z333" s="24"/>
      <c r="AA333" s="24"/>
      <c r="AB333" s="24"/>
      <c r="AC333" s="24"/>
      <c r="AD333" s="24"/>
      <c r="AE333" s="24"/>
      <c r="AF333" s="24"/>
      <c r="AG333" s="24"/>
      <c r="AH333" s="24"/>
      <c r="AI333" s="24"/>
      <c r="AJ333" s="25"/>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row>
    <row r="334" spans="12:62" x14ac:dyDescent="0.35">
      <c r="L334" s="202"/>
      <c r="P334" s="202"/>
      <c r="W334" s="24"/>
      <c r="X334" s="24"/>
      <c r="Y334" s="24"/>
      <c r="Z334" s="24"/>
      <c r="AA334" s="24"/>
      <c r="AB334" s="24"/>
      <c r="AC334" s="24"/>
      <c r="AD334" s="24"/>
      <c r="AE334" s="24"/>
      <c r="AF334" s="24"/>
      <c r="AG334" s="24"/>
      <c r="AH334" s="24"/>
      <c r="AI334" s="24"/>
      <c r="AJ334" s="25"/>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row>
    <row r="335" spans="12:62" x14ac:dyDescent="0.35">
      <c r="L335" s="202"/>
      <c r="P335" s="202"/>
      <c r="W335" s="24"/>
      <c r="X335" s="24"/>
      <c r="Y335" s="24"/>
      <c r="Z335" s="24"/>
      <c r="AA335" s="24"/>
      <c r="AB335" s="24"/>
      <c r="AC335" s="24"/>
      <c r="AD335" s="24"/>
      <c r="AE335" s="24"/>
      <c r="AF335" s="24"/>
      <c r="AG335" s="24"/>
      <c r="AH335" s="24"/>
      <c r="AI335" s="24"/>
      <c r="AJ335" s="25"/>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row>
    <row r="336" spans="12:62" x14ac:dyDescent="0.35">
      <c r="L336" s="202"/>
      <c r="P336" s="202"/>
      <c r="W336" s="24"/>
      <c r="X336" s="24"/>
      <c r="Y336" s="24"/>
      <c r="Z336" s="24"/>
      <c r="AA336" s="24"/>
      <c r="AB336" s="24"/>
      <c r="AC336" s="24"/>
      <c r="AD336" s="24"/>
      <c r="AE336" s="24"/>
      <c r="AF336" s="24"/>
      <c r="AG336" s="24"/>
      <c r="AH336" s="24"/>
      <c r="AI336" s="24"/>
      <c r="AJ336" s="25"/>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row>
    <row r="337" spans="12:62" x14ac:dyDescent="0.35">
      <c r="L337" s="202"/>
      <c r="P337" s="202"/>
      <c r="W337" s="24"/>
      <c r="X337" s="24"/>
      <c r="Y337" s="24"/>
      <c r="Z337" s="24"/>
      <c r="AA337" s="24"/>
      <c r="AB337" s="24"/>
      <c r="AC337" s="24"/>
      <c r="AD337" s="24"/>
      <c r="AE337" s="24"/>
      <c r="AF337" s="24"/>
      <c r="AG337" s="24"/>
      <c r="AH337" s="24"/>
      <c r="AI337" s="24"/>
      <c r="AJ337" s="25"/>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row>
    <row r="338" spans="12:62" x14ac:dyDescent="0.35">
      <c r="L338" s="202"/>
      <c r="P338" s="202"/>
      <c r="W338" s="24"/>
      <c r="X338" s="24"/>
      <c r="Y338" s="24"/>
      <c r="Z338" s="24"/>
      <c r="AA338" s="24"/>
      <c r="AB338" s="24"/>
      <c r="AC338" s="24"/>
      <c r="AD338" s="24"/>
      <c r="AE338" s="24"/>
      <c r="AF338" s="24"/>
      <c r="AG338" s="24"/>
      <c r="AH338" s="24"/>
      <c r="AI338" s="24"/>
      <c r="AJ338" s="25"/>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row>
    <row r="339" spans="12:62" x14ac:dyDescent="0.35">
      <c r="L339" s="202"/>
      <c r="P339" s="202"/>
      <c r="W339" s="24"/>
      <c r="X339" s="24"/>
      <c r="Y339" s="24"/>
      <c r="Z339" s="24"/>
      <c r="AA339" s="24"/>
      <c r="AB339" s="24"/>
      <c r="AC339" s="24"/>
      <c r="AD339" s="24"/>
      <c r="AE339" s="24"/>
      <c r="AF339" s="24"/>
      <c r="AG339" s="24"/>
      <c r="AH339" s="24"/>
      <c r="AI339" s="24"/>
      <c r="AJ339" s="25"/>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row>
    <row r="340" spans="12:62" x14ac:dyDescent="0.35">
      <c r="L340" s="202"/>
      <c r="P340" s="202"/>
      <c r="W340" s="24"/>
      <c r="X340" s="24"/>
      <c r="Y340" s="24"/>
      <c r="Z340" s="24"/>
      <c r="AA340" s="24"/>
      <c r="AB340" s="24"/>
      <c r="AC340" s="24"/>
      <c r="AD340" s="24"/>
      <c r="AE340" s="24"/>
      <c r="AF340" s="24"/>
      <c r="AG340" s="24"/>
      <c r="AH340" s="24"/>
      <c r="AI340" s="24"/>
      <c r="AJ340" s="25"/>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row>
    <row r="341" spans="12:62" x14ac:dyDescent="0.35">
      <c r="L341" s="202"/>
      <c r="P341" s="202"/>
      <c r="W341" s="24"/>
      <c r="X341" s="24"/>
      <c r="Y341" s="24"/>
      <c r="Z341" s="24"/>
      <c r="AA341" s="24"/>
      <c r="AB341" s="24"/>
      <c r="AC341" s="24"/>
      <c r="AD341" s="24"/>
      <c r="AE341" s="24"/>
      <c r="AF341" s="24"/>
      <c r="AG341" s="24"/>
      <c r="AH341" s="24"/>
      <c r="AI341" s="24"/>
      <c r="AJ341" s="25"/>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row>
    <row r="342" spans="12:62" x14ac:dyDescent="0.35">
      <c r="L342" s="202"/>
      <c r="P342" s="202"/>
      <c r="W342" s="24"/>
      <c r="X342" s="24"/>
      <c r="Y342" s="24"/>
      <c r="Z342" s="24"/>
      <c r="AA342" s="24"/>
      <c r="AB342" s="24"/>
      <c r="AC342" s="24"/>
      <c r="AD342" s="24"/>
      <c r="AE342" s="24"/>
      <c r="AF342" s="24"/>
      <c r="AG342" s="24"/>
      <c r="AH342" s="24"/>
      <c r="AI342" s="24"/>
      <c r="AJ342" s="25"/>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row>
    <row r="343" spans="12:62" x14ac:dyDescent="0.35">
      <c r="L343" s="202"/>
      <c r="P343" s="202"/>
      <c r="W343" s="24"/>
      <c r="X343" s="24"/>
      <c r="Y343" s="24"/>
      <c r="Z343" s="24"/>
      <c r="AA343" s="24"/>
      <c r="AB343" s="24"/>
      <c r="AC343" s="24"/>
      <c r="AD343" s="24"/>
      <c r="AE343" s="24"/>
      <c r="AF343" s="24"/>
      <c r="AG343" s="24"/>
      <c r="AH343" s="24"/>
      <c r="AI343" s="24"/>
      <c r="AJ343" s="25"/>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row>
    <row r="344" spans="12:62" x14ac:dyDescent="0.35">
      <c r="L344" s="202"/>
      <c r="P344" s="202"/>
      <c r="W344" s="24"/>
      <c r="X344" s="24"/>
      <c r="Y344" s="24"/>
      <c r="Z344" s="24"/>
      <c r="AA344" s="24"/>
      <c r="AB344" s="24"/>
      <c r="AC344" s="24"/>
      <c r="AD344" s="24"/>
      <c r="AE344" s="24"/>
      <c r="AF344" s="24"/>
      <c r="AG344" s="24"/>
      <c r="AH344" s="24"/>
      <c r="AI344" s="24"/>
      <c r="AJ344" s="25"/>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row>
    <row r="345" spans="12:62" x14ac:dyDescent="0.35">
      <c r="L345" s="202"/>
      <c r="P345" s="202"/>
      <c r="W345" s="24"/>
      <c r="X345" s="24"/>
      <c r="Y345" s="24"/>
      <c r="Z345" s="24"/>
      <c r="AA345" s="24"/>
      <c r="AB345" s="24"/>
      <c r="AC345" s="24"/>
      <c r="AD345" s="24"/>
      <c r="AE345" s="24"/>
      <c r="AF345" s="24"/>
      <c r="AG345" s="24"/>
      <c r="AH345" s="24"/>
      <c r="AI345" s="24"/>
      <c r="AJ345" s="25"/>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row>
    <row r="346" spans="12:62" x14ac:dyDescent="0.35">
      <c r="L346" s="202"/>
      <c r="P346" s="202"/>
      <c r="W346" s="24"/>
      <c r="X346" s="24"/>
      <c r="Y346" s="24"/>
      <c r="Z346" s="24"/>
      <c r="AA346" s="24"/>
      <c r="AB346" s="24"/>
      <c r="AC346" s="24"/>
      <c r="AD346" s="24"/>
      <c r="AE346" s="24"/>
      <c r="AF346" s="24"/>
      <c r="AG346" s="24"/>
      <c r="AH346" s="24"/>
      <c r="AI346" s="24"/>
      <c r="AJ346" s="25"/>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row>
    <row r="347" spans="12:62" x14ac:dyDescent="0.35">
      <c r="L347" s="202"/>
      <c r="P347" s="202"/>
      <c r="W347" s="24"/>
      <c r="X347" s="24"/>
      <c r="Y347" s="24"/>
      <c r="Z347" s="24"/>
      <c r="AA347" s="24"/>
      <c r="AB347" s="24"/>
      <c r="AC347" s="24"/>
      <c r="AD347" s="24"/>
      <c r="AE347" s="24"/>
      <c r="AF347" s="24"/>
      <c r="AG347" s="24"/>
      <c r="AH347" s="24"/>
      <c r="AI347" s="24"/>
      <c r="AJ347" s="25"/>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row>
    <row r="348" spans="12:62" x14ac:dyDescent="0.35">
      <c r="L348" s="202"/>
      <c r="P348" s="202"/>
      <c r="W348" s="24"/>
      <c r="X348" s="24"/>
      <c r="Y348" s="24"/>
      <c r="Z348" s="24"/>
      <c r="AA348" s="24"/>
      <c r="AB348" s="24"/>
      <c r="AC348" s="24"/>
      <c r="AD348" s="24"/>
      <c r="AE348" s="24"/>
      <c r="AF348" s="24"/>
      <c r="AG348" s="24"/>
      <c r="AH348" s="24"/>
      <c r="AI348" s="24"/>
      <c r="AJ348" s="25"/>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row>
    <row r="349" spans="12:62" x14ac:dyDescent="0.35">
      <c r="L349" s="202"/>
      <c r="P349" s="202"/>
      <c r="W349" s="24"/>
      <c r="X349" s="24"/>
      <c r="Y349" s="24"/>
      <c r="Z349" s="24"/>
      <c r="AA349" s="24"/>
      <c r="AB349" s="24"/>
      <c r="AC349" s="24"/>
      <c r="AD349" s="24"/>
      <c r="AE349" s="24"/>
      <c r="AF349" s="24"/>
      <c r="AG349" s="24"/>
      <c r="AH349" s="24"/>
      <c r="AI349" s="24"/>
      <c r="AJ349" s="25"/>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row>
    <row r="350" spans="12:62" x14ac:dyDescent="0.35">
      <c r="L350" s="202"/>
      <c r="P350" s="202"/>
      <c r="W350" s="24"/>
      <c r="X350" s="24"/>
      <c r="Y350" s="24"/>
      <c r="Z350" s="24"/>
      <c r="AA350" s="24"/>
      <c r="AB350" s="24"/>
      <c r="AC350" s="24"/>
      <c r="AD350" s="24"/>
      <c r="AE350" s="24"/>
      <c r="AF350" s="24"/>
      <c r="AG350" s="24"/>
      <c r="AH350" s="24"/>
      <c r="AI350" s="24"/>
      <c r="AJ350" s="25"/>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row>
    <row r="351" spans="12:62" x14ac:dyDescent="0.35">
      <c r="L351" s="202"/>
      <c r="P351" s="202"/>
      <c r="W351" s="24"/>
      <c r="X351" s="24"/>
      <c r="Y351" s="24"/>
      <c r="Z351" s="24"/>
      <c r="AA351" s="24"/>
      <c r="AB351" s="24"/>
      <c r="AC351" s="24"/>
      <c r="AD351" s="24"/>
      <c r="AE351" s="24"/>
      <c r="AF351" s="24"/>
      <c r="AG351" s="24"/>
      <c r="AH351" s="24"/>
      <c r="AI351" s="24"/>
      <c r="AJ351" s="25"/>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row>
    <row r="352" spans="12:62" x14ac:dyDescent="0.35">
      <c r="L352" s="202"/>
      <c r="P352" s="202"/>
      <c r="W352" s="24"/>
      <c r="X352" s="24"/>
      <c r="Y352" s="24"/>
      <c r="Z352" s="24"/>
      <c r="AA352" s="24"/>
      <c r="AB352" s="24"/>
      <c r="AC352" s="24"/>
      <c r="AD352" s="24"/>
      <c r="AE352" s="24"/>
      <c r="AF352" s="24"/>
      <c r="AG352" s="24"/>
      <c r="AH352" s="24"/>
      <c r="AI352" s="24"/>
      <c r="AJ352" s="25"/>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row>
    <row r="353" spans="12:62" x14ac:dyDescent="0.35">
      <c r="L353" s="202"/>
      <c r="P353" s="202"/>
      <c r="W353" s="24"/>
      <c r="X353" s="24"/>
      <c r="Y353" s="24"/>
      <c r="Z353" s="24"/>
      <c r="AA353" s="24"/>
      <c r="AB353" s="24"/>
      <c r="AC353" s="24"/>
      <c r="AD353" s="24"/>
      <c r="AE353" s="24"/>
      <c r="AF353" s="24"/>
      <c r="AG353" s="24"/>
      <c r="AH353" s="24"/>
      <c r="AI353" s="24"/>
      <c r="AJ353" s="25"/>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row>
    <row r="354" spans="12:62" x14ac:dyDescent="0.35">
      <c r="L354" s="202"/>
      <c r="P354" s="202"/>
      <c r="W354" s="24"/>
      <c r="X354" s="24"/>
      <c r="Y354" s="24"/>
      <c r="Z354" s="24"/>
      <c r="AA354" s="24"/>
      <c r="AB354" s="24"/>
      <c r="AC354" s="24"/>
      <c r="AD354" s="24"/>
      <c r="AE354" s="24"/>
      <c r="AF354" s="24"/>
      <c r="AG354" s="24"/>
      <c r="AH354" s="24"/>
      <c r="AI354" s="24"/>
      <c r="AJ354" s="25"/>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row>
    <row r="355" spans="12:62" x14ac:dyDescent="0.35">
      <c r="L355" s="202"/>
      <c r="P355" s="202"/>
      <c r="W355" s="24"/>
      <c r="X355" s="24"/>
      <c r="Y355" s="24"/>
      <c r="Z355" s="24"/>
      <c r="AA355" s="24"/>
      <c r="AB355" s="24"/>
      <c r="AC355" s="24"/>
      <c r="AD355" s="24"/>
      <c r="AE355" s="24"/>
      <c r="AF355" s="24"/>
      <c r="AG355" s="24"/>
      <c r="AH355" s="24"/>
      <c r="AI355" s="24"/>
      <c r="AJ355" s="25"/>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row>
    <row r="356" spans="12:62" x14ac:dyDescent="0.35">
      <c r="L356" s="202"/>
      <c r="P356" s="202"/>
      <c r="W356" s="24"/>
      <c r="X356" s="24"/>
      <c r="Y356" s="24"/>
      <c r="Z356" s="24"/>
      <c r="AA356" s="24"/>
      <c r="AB356" s="24"/>
      <c r="AC356" s="24"/>
      <c r="AD356" s="24"/>
      <c r="AE356" s="24"/>
      <c r="AF356" s="24"/>
      <c r="AG356" s="24"/>
      <c r="AH356" s="24"/>
      <c r="AI356" s="24"/>
      <c r="AJ356" s="25"/>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row>
    <row r="357" spans="12:62" x14ac:dyDescent="0.35">
      <c r="L357" s="202"/>
      <c r="P357" s="202"/>
      <c r="W357" s="24"/>
      <c r="X357" s="24"/>
      <c r="Y357" s="24"/>
      <c r="Z357" s="24"/>
      <c r="AA357" s="24"/>
      <c r="AB357" s="24"/>
      <c r="AC357" s="24"/>
      <c r="AD357" s="24"/>
      <c r="AE357" s="24"/>
      <c r="AF357" s="24"/>
      <c r="AG357" s="24"/>
      <c r="AH357" s="24"/>
      <c r="AI357" s="24"/>
      <c r="AJ357" s="25"/>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row>
    <row r="358" spans="12:62" x14ac:dyDescent="0.35">
      <c r="L358" s="202"/>
      <c r="P358" s="202"/>
      <c r="W358" s="24"/>
      <c r="X358" s="24"/>
      <c r="Y358" s="24"/>
      <c r="Z358" s="24"/>
      <c r="AA358" s="24"/>
      <c r="AB358" s="24"/>
      <c r="AC358" s="24"/>
      <c r="AD358" s="24"/>
      <c r="AE358" s="24"/>
      <c r="AF358" s="24"/>
      <c r="AG358" s="24"/>
      <c r="AH358" s="24"/>
      <c r="AI358" s="24"/>
      <c r="AJ358" s="25"/>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row>
    <row r="359" spans="12:62" x14ac:dyDescent="0.35">
      <c r="L359" s="202"/>
      <c r="P359" s="202"/>
      <c r="W359" s="24"/>
      <c r="X359" s="24"/>
      <c r="Y359" s="24"/>
      <c r="Z359" s="24"/>
      <c r="AA359" s="24"/>
      <c r="AB359" s="24"/>
      <c r="AC359" s="24"/>
      <c r="AD359" s="24"/>
      <c r="AE359" s="24"/>
      <c r="AF359" s="24"/>
      <c r="AG359" s="24"/>
      <c r="AH359" s="24"/>
      <c r="AI359" s="24"/>
      <c r="AJ359" s="25"/>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row>
    <row r="360" spans="12:62" x14ac:dyDescent="0.35">
      <c r="L360" s="202"/>
      <c r="P360" s="202"/>
      <c r="W360" s="24"/>
      <c r="X360" s="24"/>
      <c r="Y360" s="24"/>
      <c r="Z360" s="24"/>
      <c r="AA360" s="24"/>
      <c r="AB360" s="24"/>
      <c r="AC360" s="24"/>
      <c r="AD360" s="24"/>
      <c r="AE360" s="24"/>
      <c r="AF360" s="24"/>
      <c r="AG360" s="24"/>
      <c r="AH360" s="24"/>
      <c r="AI360" s="24"/>
      <c r="AJ360" s="25"/>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row>
    <row r="361" spans="12:62" x14ac:dyDescent="0.35">
      <c r="L361" s="202"/>
      <c r="P361" s="202"/>
      <c r="W361" s="24"/>
      <c r="X361" s="24"/>
      <c r="Y361" s="24"/>
      <c r="Z361" s="24"/>
      <c r="AA361" s="24"/>
      <c r="AB361" s="24"/>
      <c r="AC361" s="24"/>
      <c r="AD361" s="24"/>
      <c r="AE361" s="24"/>
      <c r="AF361" s="24"/>
      <c r="AG361" s="24"/>
      <c r="AH361" s="24"/>
      <c r="AI361" s="24"/>
      <c r="AJ361" s="25"/>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c r="BJ361" s="24"/>
    </row>
    <row r="362" spans="12:62" x14ac:dyDescent="0.35">
      <c r="L362" s="202"/>
      <c r="P362" s="202"/>
      <c r="W362" s="24"/>
      <c r="X362" s="24"/>
      <c r="Y362" s="24"/>
      <c r="Z362" s="24"/>
      <c r="AA362" s="24"/>
      <c r="AB362" s="24"/>
      <c r="AC362" s="24"/>
      <c r="AD362" s="24"/>
      <c r="AE362" s="24"/>
      <c r="AF362" s="24"/>
      <c r="AG362" s="24"/>
      <c r="AH362" s="24"/>
      <c r="AI362" s="24"/>
      <c r="AJ362" s="25"/>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c r="BJ362" s="24"/>
    </row>
    <row r="363" spans="12:62" x14ac:dyDescent="0.35">
      <c r="L363" s="202"/>
      <c r="P363" s="202"/>
      <c r="W363" s="24"/>
      <c r="X363" s="24"/>
      <c r="Y363" s="24"/>
      <c r="Z363" s="24"/>
      <c r="AA363" s="24"/>
      <c r="AB363" s="24"/>
      <c r="AC363" s="24"/>
      <c r="AD363" s="24"/>
      <c r="AE363" s="24"/>
      <c r="AF363" s="24"/>
      <c r="AG363" s="24"/>
      <c r="AH363" s="24"/>
      <c r="AI363" s="24"/>
      <c r="AJ363" s="25"/>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c r="BH363" s="24"/>
      <c r="BI363" s="24"/>
      <c r="BJ363" s="24"/>
    </row>
    <row r="364" spans="12:62" x14ac:dyDescent="0.35">
      <c r="L364" s="202"/>
      <c r="P364" s="202"/>
      <c r="W364" s="24"/>
      <c r="X364" s="24"/>
      <c r="Y364" s="24"/>
      <c r="Z364" s="24"/>
      <c r="AA364" s="24"/>
      <c r="AB364" s="24"/>
      <c r="AC364" s="24"/>
      <c r="AD364" s="24"/>
      <c r="AE364" s="24"/>
      <c r="AF364" s="24"/>
      <c r="AG364" s="24"/>
      <c r="AH364" s="24"/>
      <c r="AI364" s="24"/>
      <c r="AJ364" s="25"/>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row>
    <row r="365" spans="12:62" x14ac:dyDescent="0.35">
      <c r="L365" s="202"/>
      <c r="P365" s="202"/>
      <c r="W365" s="24"/>
      <c r="X365" s="24"/>
      <c r="Y365" s="24"/>
      <c r="Z365" s="24"/>
      <c r="AA365" s="24"/>
      <c r="AB365" s="24"/>
      <c r="AC365" s="24"/>
      <c r="AD365" s="24"/>
      <c r="AE365" s="24"/>
      <c r="AF365" s="24"/>
      <c r="AG365" s="24"/>
      <c r="AH365" s="24"/>
      <c r="AI365" s="24"/>
      <c r="AJ365" s="25"/>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c r="BJ365" s="24"/>
    </row>
    <row r="366" spans="12:62" x14ac:dyDescent="0.35">
      <c r="L366" s="202"/>
      <c r="P366" s="202"/>
      <c r="W366" s="24"/>
      <c r="X366" s="24"/>
      <c r="Y366" s="24"/>
      <c r="Z366" s="24"/>
      <c r="AA366" s="24"/>
      <c r="AB366" s="24"/>
      <c r="AC366" s="24"/>
      <c r="AD366" s="24"/>
      <c r="AE366" s="24"/>
      <c r="AF366" s="24"/>
      <c r="AG366" s="24"/>
      <c r="AH366" s="24"/>
      <c r="AI366" s="24"/>
      <c r="AJ366" s="25"/>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c r="BJ366" s="24"/>
    </row>
    <row r="367" spans="12:62" x14ac:dyDescent="0.35">
      <c r="L367" s="202"/>
      <c r="P367" s="202"/>
      <c r="W367" s="24"/>
      <c r="X367" s="24"/>
      <c r="Y367" s="24"/>
      <c r="Z367" s="24"/>
      <c r="AA367" s="24"/>
      <c r="AB367" s="24"/>
      <c r="AC367" s="24"/>
      <c r="AD367" s="24"/>
      <c r="AE367" s="24"/>
      <c r="AF367" s="24"/>
      <c r="AG367" s="24"/>
      <c r="AH367" s="24"/>
      <c r="AI367" s="24"/>
      <c r="AJ367" s="25"/>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c r="BJ367" s="24"/>
    </row>
    <row r="368" spans="12:62" x14ac:dyDescent="0.35">
      <c r="L368" s="202"/>
      <c r="P368" s="202"/>
      <c r="W368" s="24"/>
      <c r="X368" s="24"/>
      <c r="Y368" s="24"/>
      <c r="Z368" s="24"/>
      <c r="AA368" s="24"/>
      <c r="AB368" s="24"/>
      <c r="AC368" s="24"/>
      <c r="AD368" s="24"/>
      <c r="AE368" s="24"/>
      <c r="AF368" s="24"/>
      <c r="AG368" s="24"/>
      <c r="AH368" s="24"/>
      <c r="AI368" s="24"/>
      <c r="AJ368" s="25"/>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c r="BJ368" s="24"/>
    </row>
    <row r="369" spans="12:62" x14ac:dyDescent="0.35">
      <c r="L369" s="202"/>
      <c r="P369" s="202"/>
      <c r="W369" s="24"/>
      <c r="X369" s="24"/>
      <c r="Y369" s="24"/>
      <c r="Z369" s="24"/>
      <c r="AA369" s="24"/>
      <c r="AB369" s="24"/>
      <c r="AC369" s="24"/>
      <c r="AD369" s="24"/>
      <c r="AE369" s="24"/>
      <c r="AF369" s="24"/>
      <c r="AG369" s="24"/>
      <c r="AH369" s="24"/>
      <c r="AI369" s="24"/>
      <c r="AJ369" s="25"/>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c r="BJ369" s="24"/>
    </row>
    <row r="370" spans="12:62" x14ac:dyDescent="0.35">
      <c r="L370" s="202"/>
      <c r="P370" s="202"/>
      <c r="W370" s="24"/>
      <c r="X370" s="24"/>
      <c r="Y370" s="24"/>
      <c r="Z370" s="24"/>
      <c r="AA370" s="24"/>
      <c r="AB370" s="24"/>
      <c r="AC370" s="24"/>
      <c r="AD370" s="24"/>
      <c r="AE370" s="24"/>
      <c r="AF370" s="24"/>
      <c r="AG370" s="24"/>
      <c r="AH370" s="24"/>
      <c r="AI370" s="24"/>
      <c r="AJ370" s="25"/>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c r="BJ370" s="24"/>
    </row>
    <row r="371" spans="12:62" x14ac:dyDescent="0.35">
      <c r="L371" s="202"/>
      <c r="P371" s="202"/>
      <c r="W371" s="24"/>
      <c r="X371" s="24"/>
      <c r="Y371" s="24"/>
      <c r="Z371" s="24"/>
      <c r="AA371" s="24"/>
      <c r="AB371" s="24"/>
      <c r="AC371" s="24"/>
      <c r="AD371" s="24"/>
      <c r="AE371" s="24"/>
      <c r="AF371" s="24"/>
      <c r="AG371" s="24"/>
      <c r="AH371" s="24"/>
      <c r="AI371" s="24"/>
      <c r="AJ371" s="25"/>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c r="BJ371" s="24"/>
    </row>
    <row r="372" spans="12:62" x14ac:dyDescent="0.35">
      <c r="L372" s="202"/>
      <c r="P372" s="202"/>
      <c r="W372" s="24"/>
      <c r="X372" s="24"/>
      <c r="Y372" s="24"/>
      <c r="Z372" s="24"/>
      <c r="AA372" s="24"/>
      <c r="AB372" s="24"/>
      <c r="AC372" s="24"/>
      <c r="AD372" s="24"/>
      <c r="AE372" s="24"/>
      <c r="AF372" s="24"/>
      <c r="AG372" s="24"/>
      <c r="AH372" s="24"/>
      <c r="AI372" s="24"/>
      <c r="AJ372" s="25"/>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c r="BJ372" s="24"/>
    </row>
    <row r="373" spans="12:62" x14ac:dyDescent="0.35">
      <c r="L373" s="202"/>
      <c r="P373" s="202"/>
      <c r="W373" s="24"/>
      <c r="X373" s="24"/>
      <c r="Y373" s="24"/>
      <c r="Z373" s="24"/>
      <c r="AA373" s="24"/>
      <c r="AB373" s="24"/>
      <c r="AC373" s="24"/>
      <c r="AD373" s="24"/>
      <c r="AE373" s="24"/>
      <c r="AF373" s="24"/>
      <c r="AG373" s="24"/>
      <c r="AH373" s="24"/>
      <c r="AI373" s="24"/>
      <c r="AJ373" s="25"/>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c r="BJ373" s="24"/>
    </row>
    <row r="374" spans="12:62" x14ac:dyDescent="0.35">
      <c r="L374" s="202"/>
      <c r="P374" s="202"/>
      <c r="W374" s="24"/>
      <c r="X374" s="24"/>
      <c r="Y374" s="24"/>
      <c r="Z374" s="24"/>
      <c r="AA374" s="24"/>
      <c r="AB374" s="24"/>
      <c r="AC374" s="24"/>
      <c r="AD374" s="24"/>
      <c r="AE374" s="24"/>
      <c r="AF374" s="24"/>
      <c r="AG374" s="24"/>
      <c r="AH374" s="24"/>
      <c r="AI374" s="24"/>
      <c r="AJ374" s="25"/>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c r="BJ374" s="24"/>
    </row>
    <row r="375" spans="12:62" x14ac:dyDescent="0.35">
      <c r="L375" s="202"/>
      <c r="P375" s="202"/>
      <c r="W375" s="24"/>
      <c r="X375" s="24"/>
      <c r="Y375" s="24"/>
      <c r="Z375" s="24"/>
      <c r="AA375" s="24"/>
      <c r="AB375" s="24"/>
      <c r="AC375" s="24"/>
      <c r="AD375" s="24"/>
      <c r="AE375" s="24"/>
      <c r="AF375" s="24"/>
      <c r="AG375" s="24"/>
      <c r="AH375" s="24"/>
      <c r="AI375" s="24"/>
      <c r="AJ375" s="25"/>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c r="BJ375" s="24"/>
    </row>
    <row r="376" spans="12:62" x14ac:dyDescent="0.35">
      <c r="L376" s="202"/>
      <c r="P376" s="202"/>
      <c r="W376" s="24"/>
      <c r="X376" s="24"/>
      <c r="Y376" s="24"/>
      <c r="Z376" s="24"/>
      <c r="AA376" s="24"/>
      <c r="AB376" s="24"/>
      <c r="AC376" s="24"/>
      <c r="AD376" s="24"/>
      <c r="AE376" s="24"/>
      <c r="AF376" s="24"/>
      <c r="AG376" s="24"/>
      <c r="AH376" s="24"/>
      <c r="AI376" s="24"/>
      <c r="AJ376" s="25"/>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c r="BJ376" s="24"/>
    </row>
    <row r="377" spans="12:62" x14ac:dyDescent="0.35">
      <c r="L377" s="202"/>
      <c r="P377" s="202"/>
      <c r="W377" s="24"/>
      <c r="X377" s="24"/>
      <c r="Y377" s="24"/>
      <c r="Z377" s="24"/>
      <c r="AA377" s="24"/>
      <c r="AB377" s="24"/>
      <c r="AC377" s="24"/>
      <c r="AD377" s="24"/>
      <c r="AE377" s="24"/>
      <c r="AF377" s="24"/>
      <c r="AG377" s="24"/>
      <c r="AH377" s="24"/>
      <c r="AI377" s="24"/>
      <c r="AJ377" s="25"/>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c r="BH377" s="24"/>
      <c r="BI377" s="24"/>
      <c r="BJ377" s="24"/>
    </row>
    <row r="378" spans="12:62" x14ac:dyDescent="0.35">
      <c r="L378" s="202"/>
      <c r="P378" s="202"/>
      <c r="W378" s="24"/>
      <c r="X378" s="24"/>
      <c r="Y378" s="24"/>
      <c r="Z378" s="24"/>
      <c r="AA378" s="24"/>
      <c r="AB378" s="24"/>
      <c r="AC378" s="24"/>
      <c r="AD378" s="24"/>
      <c r="AE378" s="24"/>
      <c r="AF378" s="24"/>
      <c r="AG378" s="24"/>
      <c r="AH378" s="24"/>
      <c r="AI378" s="24"/>
      <c r="AJ378" s="25"/>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c r="BH378" s="24"/>
      <c r="BI378" s="24"/>
      <c r="BJ378" s="24"/>
    </row>
    <row r="379" spans="12:62" x14ac:dyDescent="0.35">
      <c r="L379" s="202"/>
      <c r="P379" s="202"/>
      <c r="W379" s="24"/>
      <c r="X379" s="24"/>
      <c r="Y379" s="24"/>
      <c r="Z379" s="24"/>
      <c r="AA379" s="24"/>
      <c r="AB379" s="24"/>
      <c r="AC379" s="24"/>
      <c r="AD379" s="24"/>
      <c r="AE379" s="24"/>
      <c r="AF379" s="24"/>
      <c r="AG379" s="24"/>
      <c r="AH379" s="24"/>
      <c r="AI379" s="24"/>
      <c r="AJ379" s="25"/>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c r="BH379" s="24"/>
      <c r="BI379" s="24"/>
      <c r="BJ379" s="24"/>
    </row>
    <row r="380" spans="12:62" x14ac:dyDescent="0.35">
      <c r="L380" s="202"/>
      <c r="P380" s="202"/>
      <c r="W380" s="24"/>
      <c r="X380" s="24"/>
      <c r="Y380" s="24"/>
      <c r="Z380" s="24"/>
      <c r="AA380" s="24"/>
      <c r="AB380" s="24"/>
      <c r="AC380" s="24"/>
      <c r="AD380" s="24"/>
      <c r="AE380" s="24"/>
      <c r="AF380" s="24"/>
      <c r="AG380" s="24"/>
      <c r="AH380" s="24"/>
      <c r="AI380" s="24"/>
      <c r="AJ380" s="25"/>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c r="BJ380" s="24"/>
    </row>
    <row r="381" spans="12:62" x14ac:dyDescent="0.35">
      <c r="L381" s="202"/>
      <c r="P381" s="202"/>
      <c r="W381" s="24"/>
      <c r="X381" s="24"/>
      <c r="Y381" s="24"/>
      <c r="Z381" s="24"/>
      <c r="AA381" s="24"/>
      <c r="AB381" s="24"/>
      <c r="AC381" s="24"/>
      <c r="AD381" s="24"/>
      <c r="AE381" s="24"/>
      <c r="AF381" s="24"/>
      <c r="AG381" s="24"/>
      <c r="AH381" s="24"/>
      <c r="AI381" s="24"/>
      <c r="AJ381" s="25"/>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c r="BJ381" s="24"/>
    </row>
    <row r="382" spans="12:62" x14ac:dyDescent="0.35">
      <c r="L382" s="202"/>
      <c r="P382" s="202"/>
      <c r="W382" s="24"/>
      <c r="X382" s="24"/>
      <c r="Y382" s="24"/>
      <c r="Z382" s="24"/>
      <c r="AA382" s="24"/>
      <c r="AB382" s="24"/>
      <c r="AC382" s="24"/>
      <c r="AD382" s="24"/>
      <c r="AE382" s="24"/>
      <c r="AF382" s="24"/>
      <c r="AG382" s="24"/>
      <c r="AH382" s="24"/>
      <c r="AI382" s="24"/>
      <c r="AJ382" s="25"/>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c r="BJ382" s="24"/>
    </row>
    <row r="383" spans="12:62" x14ac:dyDescent="0.35">
      <c r="L383" s="202"/>
      <c r="P383" s="202"/>
      <c r="W383" s="24"/>
      <c r="X383" s="24"/>
      <c r="Y383" s="24"/>
      <c r="Z383" s="24"/>
      <c r="AA383" s="24"/>
      <c r="AB383" s="24"/>
      <c r="AC383" s="24"/>
      <c r="AD383" s="24"/>
      <c r="AE383" s="24"/>
      <c r="AF383" s="24"/>
      <c r="AG383" s="24"/>
      <c r="AH383" s="24"/>
      <c r="AI383" s="24"/>
      <c r="AJ383" s="25"/>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c r="BJ383" s="24"/>
    </row>
    <row r="384" spans="12:62" x14ac:dyDescent="0.35">
      <c r="L384" s="202"/>
      <c r="P384" s="202"/>
      <c r="W384" s="24"/>
      <c r="X384" s="24"/>
      <c r="Y384" s="24"/>
      <c r="Z384" s="24"/>
      <c r="AA384" s="24"/>
      <c r="AB384" s="24"/>
      <c r="AC384" s="24"/>
      <c r="AD384" s="24"/>
      <c r="AE384" s="24"/>
      <c r="AF384" s="24"/>
      <c r="AG384" s="24"/>
      <c r="AH384" s="24"/>
      <c r="AI384" s="24"/>
      <c r="AJ384" s="25"/>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c r="BJ384" s="24"/>
    </row>
    <row r="385" spans="12:62" x14ac:dyDescent="0.35">
      <c r="L385" s="202"/>
      <c r="P385" s="202"/>
      <c r="W385" s="24"/>
      <c r="X385" s="24"/>
      <c r="Y385" s="24"/>
      <c r="Z385" s="24"/>
      <c r="AA385" s="24"/>
      <c r="AB385" s="24"/>
      <c r="AC385" s="24"/>
      <c r="AD385" s="24"/>
      <c r="AE385" s="24"/>
      <c r="AF385" s="24"/>
      <c r="AG385" s="24"/>
      <c r="AH385" s="24"/>
      <c r="AI385" s="24"/>
      <c r="AJ385" s="25"/>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c r="BJ385" s="24"/>
    </row>
    <row r="386" spans="12:62" x14ac:dyDescent="0.35">
      <c r="L386" s="202"/>
      <c r="P386" s="202"/>
      <c r="W386" s="24"/>
      <c r="X386" s="24"/>
      <c r="Y386" s="24"/>
      <c r="Z386" s="24"/>
      <c r="AA386" s="24"/>
      <c r="AB386" s="24"/>
      <c r="AC386" s="24"/>
      <c r="AD386" s="24"/>
      <c r="AE386" s="24"/>
      <c r="AF386" s="24"/>
      <c r="AG386" s="24"/>
      <c r="AH386" s="24"/>
      <c r="AI386" s="24"/>
      <c r="AJ386" s="25"/>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c r="BJ386" s="24"/>
    </row>
    <row r="387" spans="12:62" x14ac:dyDescent="0.35">
      <c r="L387" s="202"/>
      <c r="P387" s="202"/>
      <c r="W387" s="24"/>
      <c r="X387" s="24"/>
      <c r="Y387" s="24"/>
      <c r="Z387" s="24"/>
      <c r="AA387" s="24"/>
      <c r="AB387" s="24"/>
      <c r="AC387" s="24"/>
      <c r="AD387" s="24"/>
      <c r="AE387" s="24"/>
      <c r="AF387" s="24"/>
      <c r="AG387" s="24"/>
      <c r="AH387" s="24"/>
      <c r="AI387" s="24"/>
      <c r="AJ387" s="25"/>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c r="BJ387" s="24"/>
    </row>
    <row r="388" spans="12:62" x14ac:dyDescent="0.35">
      <c r="L388" s="202"/>
      <c r="P388" s="202"/>
      <c r="W388" s="24"/>
      <c r="X388" s="24"/>
      <c r="Y388" s="24"/>
      <c r="Z388" s="24"/>
      <c r="AA388" s="24"/>
      <c r="AB388" s="24"/>
      <c r="AC388" s="24"/>
      <c r="AD388" s="24"/>
      <c r="AE388" s="24"/>
      <c r="AF388" s="24"/>
      <c r="AG388" s="24"/>
      <c r="AH388" s="24"/>
      <c r="AI388" s="24"/>
      <c r="AJ388" s="25"/>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c r="BJ388" s="24"/>
    </row>
    <row r="389" spans="12:62" x14ac:dyDescent="0.35">
      <c r="L389" s="202"/>
      <c r="P389" s="202"/>
      <c r="W389" s="24"/>
      <c r="X389" s="24"/>
      <c r="Y389" s="24"/>
      <c r="Z389" s="24"/>
      <c r="AA389" s="24"/>
      <c r="AB389" s="24"/>
      <c r="AC389" s="24"/>
      <c r="AD389" s="24"/>
      <c r="AE389" s="24"/>
      <c r="AF389" s="24"/>
      <c r="AG389" s="24"/>
      <c r="AH389" s="24"/>
      <c r="AI389" s="24"/>
      <c r="AJ389" s="25"/>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row>
    <row r="390" spans="12:62" x14ac:dyDescent="0.35">
      <c r="L390" s="202"/>
      <c r="P390" s="202"/>
      <c r="W390" s="24"/>
      <c r="X390" s="24"/>
      <c r="Y390" s="24"/>
      <c r="Z390" s="24"/>
      <c r="AA390" s="24"/>
      <c r="AB390" s="24"/>
      <c r="AC390" s="24"/>
      <c r="AD390" s="24"/>
      <c r="AE390" s="24"/>
      <c r="AF390" s="24"/>
      <c r="AG390" s="24"/>
      <c r="AH390" s="24"/>
      <c r="AI390" s="24"/>
      <c r="AJ390" s="25"/>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c r="BJ390" s="24"/>
    </row>
    <row r="391" spans="12:62" x14ac:dyDescent="0.35">
      <c r="L391" s="202"/>
      <c r="P391" s="202"/>
      <c r="W391" s="24"/>
      <c r="X391" s="24"/>
      <c r="Y391" s="24"/>
      <c r="Z391" s="24"/>
      <c r="AA391" s="24"/>
      <c r="AB391" s="24"/>
      <c r="AC391" s="24"/>
      <c r="AD391" s="24"/>
      <c r="AE391" s="24"/>
      <c r="AF391" s="24"/>
      <c r="AG391" s="24"/>
      <c r="AH391" s="24"/>
      <c r="AI391" s="24"/>
      <c r="AJ391" s="25"/>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c r="BJ391" s="24"/>
    </row>
    <row r="392" spans="12:62" x14ac:dyDescent="0.35">
      <c r="L392" s="202"/>
      <c r="P392" s="202"/>
      <c r="W392" s="24"/>
      <c r="X392" s="24"/>
      <c r="Y392" s="24"/>
      <c r="Z392" s="24"/>
      <c r="AA392" s="24"/>
      <c r="AB392" s="24"/>
      <c r="AC392" s="24"/>
      <c r="AD392" s="24"/>
      <c r="AE392" s="24"/>
      <c r="AF392" s="24"/>
      <c r="AG392" s="24"/>
      <c r="AH392" s="24"/>
      <c r="AI392" s="24"/>
      <c r="AJ392" s="25"/>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c r="BJ392" s="24"/>
    </row>
    <row r="393" spans="12:62" x14ac:dyDescent="0.35">
      <c r="L393" s="202"/>
      <c r="P393" s="202"/>
      <c r="W393" s="24"/>
      <c r="X393" s="24"/>
      <c r="Y393" s="24"/>
      <c r="Z393" s="24"/>
      <c r="AA393" s="24"/>
      <c r="AB393" s="24"/>
      <c r="AC393" s="24"/>
      <c r="AD393" s="24"/>
      <c r="AE393" s="24"/>
      <c r="AF393" s="24"/>
      <c r="AG393" s="24"/>
      <c r="AH393" s="24"/>
      <c r="AI393" s="24"/>
      <c r="AJ393" s="25"/>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c r="BJ393" s="24"/>
    </row>
    <row r="394" spans="12:62" x14ac:dyDescent="0.35">
      <c r="L394" s="202"/>
      <c r="P394" s="202"/>
      <c r="W394" s="24"/>
      <c r="X394" s="24"/>
      <c r="Y394" s="24"/>
      <c r="Z394" s="24"/>
      <c r="AA394" s="24"/>
      <c r="AB394" s="24"/>
      <c r="AC394" s="24"/>
      <c r="AD394" s="24"/>
      <c r="AE394" s="24"/>
      <c r="AF394" s="24"/>
      <c r="AG394" s="24"/>
      <c r="AH394" s="24"/>
      <c r="AI394" s="24"/>
      <c r="AJ394" s="25"/>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c r="BJ394" s="24"/>
    </row>
    <row r="395" spans="12:62" x14ac:dyDescent="0.35">
      <c r="L395" s="202"/>
      <c r="P395" s="202"/>
      <c r="W395" s="24"/>
      <c r="X395" s="24"/>
      <c r="Y395" s="24"/>
      <c r="Z395" s="24"/>
      <c r="AA395" s="24"/>
      <c r="AB395" s="24"/>
      <c r="AC395" s="24"/>
      <c r="AD395" s="24"/>
      <c r="AE395" s="24"/>
      <c r="AF395" s="24"/>
      <c r="AG395" s="24"/>
      <c r="AH395" s="24"/>
      <c r="AI395" s="24"/>
      <c r="AJ395" s="25"/>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c r="BJ395" s="24"/>
    </row>
    <row r="396" spans="12:62" x14ac:dyDescent="0.35">
      <c r="L396" s="202"/>
      <c r="P396" s="202"/>
      <c r="W396" s="24"/>
      <c r="X396" s="24"/>
      <c r="Y396" s="24"/>
      <c r="Z396" s="24"/>
      <c r="AA396" s="24"/>
      <c r="AB396" s="24"/>
      <c r="AC396" s="24"/>
      <c r="AD396" s="24"/>
      <c r="AE396" s="24"/>
      <c r="AF396" s="24"/>
      <c r="AG396" s="24"/>
      <c r="AH396" s="24"/>
      <c r="AI396" s="24"/>
      <c r="AJ396" s="25"/>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row>
    <row r="397" spans="12:62" x14ac:dyDescent="0.35">
      <c r="L397" s="202"/>
      <c r="P397" s="202"/>
      <c r="W397" s="24"/>
      <c r="X397" s="24"/>
      <c r="Y397" s="24"/>
      <c r="Z397" s="24"/>
      <c r="AA397" s="24"/>
      <c r="AB397" s="24"/>
      <c r="AC397" s="24"/>
      <c r="AD397" s="24"/>
      <c r="AE397" s="24"/>
      <c r="AF397" s="24"/>
      <c r="AG397" s="24"/>
      <c r="AH397" s="24"/>
      <c r="AI397" s="24"/>
      <c r="AJ397" s="25"/>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row>
    <row r="398" spans="12:62" x14ac:dyDescent="0.35">
      <c r="L398" s="202"/>
      <c r="P398" s="202"/>
      <c r="W398" s="24"/>
      <c r="X398" s="24"/>
      <c r="Y398" s="24"/>
      <c r="Z398" s="24"/>
      <c r="AA398" s="24"/>
      <c r="AB398" s="24"/>
      <c r="AC398" s="24"/>
      <c r="AD398" s="24"/>
      <c r="AE398" s="24"/>
      <c r="AF398" s="24"/>
      <c r="AG398" s="24"/>
      <c r="AH398" s="24"/>
      <c r="AI398" s="24"/>
      <c r="AJ398" s="25"/>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c r="BJ398" s="24"/>
    </row>
    <row r="399" spans="12:62" x14ac:dyDescent="0.35">
      <c r="L399" s="202"/>
      <c r="P399" s="202"/>
      <c r="W399" s="24"/>
      <c r="X399" s="24"/>
      <c r="Y399" s="24"/>
      <c r="Z399" s="24"/>
      <c r="AA399" s="24"/>
      <c r="AB399" s="24"/>
      <c r="AC399" s="24"/>
      <c r="AD399" s="24"/>
      <c r="AE399" s="24"/>
      <c r="AF399" s="24"/>
      <c r="AG399" s="24"/>
      <c r="AH399" s="24"/>
      <c r="AI399" s="24"/>
      <c r="AJ399" s="25"/>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c r="BJ399" s="24"/>
    </row>
    <row r="400" spans="12:62" x14ac:dyDescent="0.35">
      <c r="L400" s="202"/>
      <c r="P400" s="202"/>
      <c r="W400" s="24"/>
      <c r="X400" s="24"/>
      <c r="Y400" s="24"/>
      <c r="Z400" s="24"/>
      <c r="AA400" s="24"/>
      <c r="AB400" s="24"/>
      <c r="AC400" s="24"/>
      <c r="AD400" s="24"/>
      <c r="AE400" s="24"/>
      <c r="AF400" s="24"/>
      <c r="AG400" s="24"/>
      <c r="AH400" s="24"/>
      <c r="AI400" s="24"/>
      <c r="AJ400" s="25"/>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c r="BJ400" s="24"/>
    </row>
    <row r="401" spans="12:62" x14ac:dyDescent="0.35">
      <c r="L401" s="202"/>
      <c r="P401" s="202"/>
      <c r="W401" s="24"/>
      <c r="X401" s="24"/>
      <c r="Y401" s="24"/>
      <c r="Z401" s="24"/>
      <c r="AA401" s="24"/>
      <c r="AB401" s="24"/>
      <c r="AC401" s="24"/>
      <c r="AD401" s="24"/>
      <c r="AE401" s="24"/>
      <c r="AF401" s="24"/>
      <c r="AG401" s="24"/>
      <c r="AH401" s="24"/>
      <c r="AI401" s="24"/>
      <c r="AJ401" s="25"/>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row>
    <row r="402" spans="12:62" x14ac:dyDescent="0.35">
      <c r="L402" s="202"/>
      <c r="P402" s="202"/>
      <c r="W402" s="24"/>
      <c r="X402" s="24"/>
      <c r="Y402" s="24"/>
      <c r="Z402" s="24"/>
      <c r="AA402" s="24"/>
      <c r="AB402" s="24"/>
      <c r="AC402" s="24"/>
      <c r="AD402" s="24"/>
      <c r="AE402" s="24"/>
      <c r="AF402" s="24"/>
      <c r="AG402" s="24"/>
      <c r="AH402" s="24"/>
      <c r="AI402" s="24"/>
      <c r="AJ402" s="25"/>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c r="BH402" s="24"/>
      <c r="BI402" s="24"/>
      <c r="BJ402" s="24"/>
    </row>
    <row r="403" spans="12:62" x14ac:dyDescent="0.35">
      <c r="L403" s="202"/>
      <c r="P403" s="202"/>
      <c r="W403" s="24"/>
      <c r="X403" s="24"/>
      <c r="Y403" s="24"/>
      <c r="Z403" s="24"/>
      <c r="AA403" s="24"/>
      <c r="AB403" s="24"/>
      <c r="AC403" s="24"/>
      <c r="AD403" s="24"/>
      <c r="AE403" s="24"/>
      <c r="AF403" s="24"/>
      <c r="AG403" s="24"/>
      <c r="AH403" s="24"/>
      <c r="AI403" s="24"/>
      <c r="AJ403" s="25"/>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c r="BJ403" s="24"/>
    </row>
    <row r="404" spans="12:62" x14ac:dyDescent="0.35">
      <c r="L404" s="202"/>
      <c r="P404" s="202"/>
      <c r="W404" s="24"/>
      <c r="X404" s="24"/>
      <c r="Y404" s="24"/>
      <c r="Z404" s="24"/>
      <c r="AA404" s="24"/>
      <c r="AB404" s="24"/>
      <c r="AC404" s="24"/>
      <c r="AD404" s="24"/>
      <c r="AE404" s="24"/>
      <c r="AF404" s="24"/>
      <c r="AG404" s="24"/>
      <c r="AH404" s="24"/>
      <c r="AI404" s="24"/>
      <c r="AJ404" s="25"/>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c r="BJ404" s="24"/>
    </row>
    <row r="405" spans="12:62" x14ac:dyDescent="0.35">
      <c r="L405" s="202"/>
      <c r="P405" s="202"/>
      <c r="W405" s="24"/>
      <c r="X405" s="24"/>
      <c r="Y405" s="24"/>
      <c r="Z405" s="24"/>
      <c r="AA405" s="24"/>
      <c r="AB405" s="24"/>
      <c r="AC405" s="24"/>
      <c r="AD405" s="24"/>
      <c r="AE405" s="24"/>
      <c r="AF405" s="24"/>
      <c r="AG405" s="24"/>
      <c r="AH405" s="24"/>
      <c r="AI405" s="24"/>
      <c r="AJ405" s="25"/>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c r="BJ405" s="24"/>
    </row>
    <row r="406" spans="12:62" x14ac:dyDescent="0.35">
      <c r="L406" s="202"/>
      <c r="P406" s="202"/>
      <c r="W406" s="24"/>
      <c r="X406" s="24"/>
      <c r="Y406" s="24"/>
      <c r="Z406" s="24"/>
      <c r="AA406" s="24"/>
      <c r="AB406" s="24"/>
      <c r="AC406" s="24"/>
      <c r="AD406" s="24"/>
      <c r="AE406" s="24"/>
      <c r="AF406" s="24"/>
      <c r="AG406" s="24"/>
      <c r="AH406" s="24"/>
      <c r="AI406" s="24"/>
      <c r="AJ406" s="25"/>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c r="BH406" s="24"/>
      <c r="BI406" s="24"/>
      <c r="BJ406" s="24"/>
    </row>
    <row r="407" spans="12:62" x14ac:dyDescent="0.35">
      <c r="L407" s="202"/>
      <c r="P407" s="202"/>
      <c r="W407" s="24"/>
      <c r="X407" s="24"/>
      <c r="Y407" s="24"/>
      <c r="Z407" s="24"/>
      <c r="AA407" s="24"/>
      <c r="AB407" s="24"/>
      <c r="AC407" s="24"/>
      <c r="AD407" s="24"/>
      <c r="AE407" s="24"/>
      <c r="AF407" s="24"/>
      <c r="AG407" s="24"/>
      <c r="AH407" s="24"/>
      <c r="AI407" s="24"/>
      <c r="AJ407" s="25"/>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c r="BJ407" s="24"/>
    </row>
    <row r="408" spans="12:62" x14ac:dyDescent="0.35">
      <c r="L408" s="202"/>
      <c r="P408" s="202"/>
      <c r="W408" s="24"/>
      <c r="X408" s="24"/>
      <c r="Y408" s="24"/>
      <c r="Z408" s="24"/>
      <c r="AA408" s="24"/>
      <c r="AB408" s="24"/>
      <c r="AC408" s="24"/>
      <c r="AD408" s="24"/>
      <c r="AE408" s="24"/>
      <c r="AF408" s="24"/>
      <c r="AG408" s="24"/>
      <c r="AH408" s="24"/>
      <c r="AI408" s="24"/>
      <c r="AJ408" s="25"/>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c r="BH408" s="24"/>
      <c r="BI408" s="24"/>
      <c r="BJ408" s="24"/>
    </row>
    <row r="409" spans="12:62" x14ac:dyDescent="0.35">
      <c r="L409" s="202"/>
      <c r="P409" s="202"/>
      <c r="W409" s="24"/>
      <c r="X409" s="24"/>
      <c r="Y409" s="24"/>
      <c r="Z409" s="24"/>
      <c r="AA409" s="24"/>
      <c r="AB409" s="24"/>
      <c r="AC409" s="24"/>
      <c r="AD409" s="24"/>
      <c r="AE409" s="24"/>
      <c r="AF409" s="24"/>
      <c r="AG409" s="24"/>
      <c r="AH409" s="24"/>
      <c r="AI409" s="24"/>
      <c r="AJ409" s="25"/>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c r="BJ409" s="24"/>
    </row>
    <row r="410" spans="12:62" x14ac:dyDescent="0.35">
      <c r="L410" s="202"/>
      <c r="P410" s="202"/>
      <c r="W410" s="24"/>
      <c r="X410" s="24"/>
      <c r="Y410" s="24"/>
      <c r="Z410" s="24"/>
      <c r="AA410" s="24"/>
      <c r="AB410" s="24"/>
      <c r="AC410" s="24"/>
      <c r="AD410" s="24"/>
      <c r="AE410" s="24"/>
      <c r="AF410" s="24"/>
      <c r="AG410" s="24"/>
      <c r="AH410" s="24"/>
      <c r="AI410" s="24"/>
      <c r="AJ410" s="25"/>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c r="BJ410" s="24"/>
    </row>
    <row r="411" spans="12:62" x14ac:dyDescent="0.35">
      <c r="L411" s="202"/>
      <c r="P411" s="202"/>
      <c r="W411" s="24"/>
      <c r="X411" s="24"/>
      <c r="Y411" s="24"/>
      <c r="Z411" s="24"/>
      <c r="AA411" s="24"/>
      <c r="AB411" s="24"/>
      <c r="AC411" s="24"/>
      <c r="AD411" s="24"/>
      <c r="AE411" s="24"/>
      <c r="AF411" s="24"/>
      <c r="AG411" s="24"/>
      <c r="AH411" s="24"/>
      <c r="AI411" s="24"/>
      <c r="AJ411" s="25"/>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c r="BJ411" s="24"/>
    </row>
    <row r="412" spans="12:62" x14ac:dyDescent="0.35">
      <c r="L412" s="202"/>
      <c r="P412" s="202"/>
      <c r="W412" s="24"/>
      <c r="X412" s="24"/>
      <c r="Y412" s="24"/>
      <c r="Z412" s="24"/>
      <c r="AA412" s="24"/>
      <c r="AB412" s="24"/>
      <c r="AC412" s="24"/>
      <c r="AD412" s="24"/>
      <c r="AE412" s="24"/>
      <c r="AF412" s="24"/>
      <c r="AG412" s="24"/>
      <c r="AH412" s="24"/>
      <c r="AI412" s="24"/>
      <c r="AJ412" s="25"/>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c r="BH412" s="24"/>
      <c r="BI412" s="24"/>
      <c r="BJ412" s="24"/>
    </row>
    <row r="413" spans="12:62" x14ac:dyDescent="0.35">
      <c r="L413" s="202"/>
      <c r="P413" s="202"/>
      <c r="W413" s="24"/>
      <c r="X413" s="24"/>
      <c r="Y413" s="24"/>
      <c r="Z413" s="24"/>
      <c r="AA413" s="24"/>
      <c r="AB413" s="24"/>
      <c r="AC413" s="24"/>
      <c r="AD413" s="24"/>
      <c r="AE413" s="24"/>
      <c r="AF413" s="24"/>
      <c r="AG413" s="24"/>
      <c r="AH413" s="24"/>
      <c r="AI413" s="24"/>
      <c r="AJ413" s="25"/>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c r="BJ413" s="24"/>
    </row>
    <row r="414" spans="12:62" x14ac:dyDescent="0.35">
      <c r="L414" s="202"/>
      <c r="P414" s="202"/>
      <c r="W414" s="24"/>
      <c r="X414" s="24"/>
      <c r="Y414" s="24"/>
      <c r="Z414" s="24"/>
      <c r="AA414" s="24"/>
      <c r="AB414" s="24"/>
      <c r="AC414" s="24"/>
      <c r="AD414" s="24"/>
      <c r="AE414" s="24"/>
      <c r="AF414" s="24"/>
      <c r="AG414" s="24"/>
      <c r="AH414" s="24"/>
      <c r="AI414" s="24"/>
      <c r="AJ414" s="25"/>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row>
    <row r="415" spans="12:62" x14ac:dyDescent="0.35">
      <c r="L415" s="202"/>
      <c r="P415" s="202"/>
      <c r="W415" s="24"/>
      <c r="X415" s="24"/>
      <c r="Y415" s="24"/>
      <c r="Z415" s="24"/>
      <c r="AA415" s="24"/>
      <c r="AB415" s="24"/>
      <c r="AC415" s="24"/>
      <c r="AD415" s="24"/>
      <c r="AE415" s="24"/>
      <c r="AF415" s="24"/>
      <c r="AG415" s="24"/>
      <c r="AH415" s="24"/>
      <c r="AI415" s="24"/>
      <c r="AJ415" s="25"/>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c r="BJ415" s="24"/>
    </row>
    <row r="416" spans="12:62" x14ac:dyDescent="0.35">
      <c r="L416" s="202"/>
      <c r="P416" s="202"/>
      <c r="W416" s="24"/>
      <c r="X416" s="24"/>
      <c r="Y416" s="24"/>
      <c r="Z416" s="24"/>
      <c r="AA416" s="24"/>
      <c r="AB416" s="24"/>
      <c r="AC416" s="24"/>
      <c r="AD416" s="24"/>
      <c r="AE416" s="24"/>
      <c r="AF416" s="24"/>
      <c r="AG416" s="24"/>
      <c r="AH416" s="24"/>
      <c r="AI416" s="24"/>
      <c r="AJ416" s="25"/>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c r="BJ416" s="24"/>
    </row>
    <row r="417" spans="12:62" x14ac:dyDescent="0.35">
      <c r="L417" s="202"/>
      <c r="P417" s="202"/>
      <c r="W417" s="24"/>
      <c r="X417" s="24"/>
      <c r="Y417" s="24"/>
      <c r="Z417" s="24"/>
      <c r="AA417" s="24"/>
      <c r="AB417" s="24"/>
      <c r="AC417" s="24"/>
      <c r="AD417" s="24"/>
      <c r="AE417" s="24"/>
      <c r="AF417" s="24"/>
      <c r="AG417" s="24"/>
      <c r="AH417" s="24"/>
      <c r="AI417" s="24"/>
      <c r="AJ417" s="25"/>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c r="BJ417" s="24"/>
    </row>
    <row r="418" spans="12:62" x14ac:dyDescent="0.35">
      <c r="L418" s="202"/>
      <c r="P418" s="202"/>
      <c r="W418" s="24"/>
      <c r="X418" s="24"/>
      <c r="Y418" s="24"/>
      <c r="Z418" s="24"/>
      <c r="AA418" s="24"/>
      <c r="AB418" s="24"/>
      <c r="AC418" s="24"/>
      <c r="AD418" s="24"/>
      <c r="AE418" s="24"/>
      <c r="AF418" s="24"/>
      <c r="AG418" s="24"/>
      <c r="AH418" s="24"/>
      <c r="AI418" s="24"/>
      <c r="AJ418" s="25"/>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c r="BH418" s="24"/>
      <c r="BI418" s="24"/>
      <c r="BJ418" s="24"/>
    </row>
    <row r="419" spans="12:62" x14ac:dyDescent="0.35">
      <c r="L419" s="202"/>
      <c r="P419" s="202"/>
      <c r="W419" s="24"/>
      <c r="X419" s="24"/>
      <c r="Y419" s="24"/>
      <c r="Z419" s="24"/>
      <c r="AA419" s="24"/>
      <c r="AB419" s="24"/>
      <c r="AC419" s="24"/>
      <c r="AD419" s="24"/>
      <c r="AE419" s="24"/>
      <c r="AF419" s="24"/>
      <c r="AG419" s="24"/>
      <c r="AH419" s="24"/>
      <c r="AI419" s="24"/>
      <c r="AJ419" s="25"/>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c r="BJ419" s="24"/>
    </row>
    <row r="420" spans="12:62" x14ac:dyDescent="0.35">
      <c r="L420" s="202"/>
      <c r="P420" s="202"/>
      <c r="W420" s="24"/>
      <c r="X420" s="24"/>
      <c r="Y420" s="24"/>
      <c r="Z420" s="24"/>
      <c r="AA420" s="24"/>
      <c r="AB420" s="24"/>
      <c r="AC420" s="24"/>
      <c r="AD420" s="24"/>
      <c r="AE420" s="24"/>
      <c r="AF420" s="24"/>
      <c r="AG420" s="24"/>
      <c r="AH420" s="24"/>
      <c r="AI420" s="24"/>
      <c r="AJ420" s="25"/>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c r="BJ420" s="24"/>
    </row>
    <row r="421" spans="12:62" x14ac:dyDescent="0.35">
      <c r="L421" s="202"/>
      <c r="P421" s="202"/>
      <c r="W421" s="24"/>
      <c r="X421" s="24"/>
      <c r="Y421" s="24"/>
      <c r="Z421" s="24"/>
      <c r="AA421" s="24"/>
      <c r="AB421" s="24"/>
      <c r="AC421" s="24"/>
      <c r="AD421" s="24"/>
      <c r="AE421" s="24"/>
      <c r="AF421" s="24"/>
      <c r="AG421" s="24"/>
      <c r="AH421" s="24"/>
      <c r="AI421" s="24"/>
      <c r="AJ421" s="25"/>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c r="BJ421" s="24"/>
    </row>
    <row r="422" spans="12:62" x14ac:dyDescent="0.35">
      <c r="L422" s="202"/>
      <c r="P422" s="202"/>
      <c r="W422" s="24"/>
      <c r="X422" s="24"/>
      <c r="Y422" s="24"/>
      <c r="Z422" s="24"/>
      <c r="AA422" s="24"/>
      <c r="AB422" s="24"/>
      <c r="AC422" s="24"/>
      <c r="AD422" s="24"/>
      <c r="AE422" s="24"/>
      <c r="AF422" s="24"/>
      <c r="AG422" s="24"/>
      <c r="AH422" s="24"/>
      <c r="AI422" s="24"/>
      <c r="AJ422" s="25"/>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c r="BJ422" s="24"/>
    </row>
    <row r="423" spans="12:62" x14ac:dyDescent="0.35">
      <c r="L423" s="202"/>
      <c r="P423" s="202"/>
      <c r="W423" s="24"/>
      <c r="X423" s="24"/>
      <c r="Y423" s="24"/>
      <c r="Z423" s="24"/>
      <c r="AA423" s="24"/>
      <c r="AB423" s="24"/>
      <c r="AC423" s="24"/>
      <c r="AD423" s="24"/>
      <c r="AE423" s="24"/>
      <c r="AF423" s="24"/>
      <c r="AG423" s="24"/>
      <c r="AH423" s="24"/>
      <c r="AI423" s="24"/>
      <c r="AJ423" s="25"/>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c r="BJ423" s="24"/>
    </row>
    <row r="424" spans="12:62" x14ac:dyDescent="0.35">
      <c r="L424" s="202"/>
      <c r="P424" s="202"/>
      <c r="W424" s="24"/>
      <c r="X424" s="24"/>
      <c r="Y424" s="24"/>
      <c r="Z424" s="24"/>
      <c r="AA424" s="24"/>
      <c r="AB424" s="24"/>
      <c r="AC424" s="24"/>
      <c r="AD424" s="24"/>
      <c r="AE424" s="24"/>
      <c r="AF424" s="24"/>
      <c r="AG424" s="24"/>
      <c r="AH424" s="24"/>
      <c r="AI424" s="24"/>
      <c r="AJ424" s="25"/>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c r="BH424" s="24"/>
      <c r="BI424" s="24"/>
      <c r="BJ424" s="24"/>
    </row>
    <row r="425" spans="12:62" x14ac:dyDescent="0.35">
      <c r="L425" s="202"/>
      <c r="P425" s="202"/>
      <c r="W425" s="24"/>
      <c r="X425" s="24"/>
      <c r="Y425" s="24"/>
      <c r="Z425" s="24"/>
      <c r="AA425" s="24"/>
      <c r="AB425" s="24"/>
      <c r="AC425" s="24"/>
      <c r="AD425" s="24"/>
      <c r="AE425" s="24"/>
      <c r="AF425" s="24"/>
      <c r="AG425" s="24"/>
      <c r="AH425" s="24"/>
      <c r="AI425" s="24"/>
      <c r="AJ425" s="25"/>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c r="BJ425" s="24"/>
    </row>
    <row r="426" spans="12:62" x14ac:dyDescent="0.35">
      <c r="L426" s="202"/>
      <c r="P426" s="202"/>
      <c r="W426" s="24"/>
      <c r="X426" s="24"/>
      <c r="Y426" s="24"/>
      <c r="Z426" s="24"/>
      <c r="AA426" s="24"/>
      <c r="AB426" s="24"/>
      <c r="AC426" s="24"/>
      <c r="AD426" s="24"/>
      <c r="AE426" s="24"/>
      <c r="AF426" s="24"/>
      <c r="AG426" s="24"/>
      <c r="AH426" s="24"/>
      <c r="AI426" s="24"/>
      <c r="AJ426" s="25"/>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c r="BJ426" s="24"/>
    </row>
    <row r="427" spans="12:62" x14ac:dyDescent="0.35">
      <c r="L427" s="202"/>
      <c r="P427" s="202"/>
      <c r="W427" s="24"/>
      <c r="X427" s="24"/>
      <c r="Y427" s="24"/>
      <c r="Z427" s="24"/>
      <c r="AA427" s="24"/>
      <c r="AB427" s="24"/>
      <c r="AC427" s="24"/>
      <c r="AD427" s="24"/>
      <c r="AE427" s="24"/>
      <c r="AF427" s="24"/>
      <c r="AG427" s="24"/>
      <c r="AH427" s="24"/>
      <c r="AI427" s="24"/>
      <c r="AJ427" s="25"/>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c r="BJ427" s="24"/>
    </row>
    <row r="428" spans="12:62" x14ac:dyDescent="0.35">
      <c r="L428" s="202"/>
      <c r="P428" s="202"/>
      <c r="W428" s="24"/>
      <c r="X428" s="24"/>
      <c r="Y428" s="24"/>
      <c r="Z428" s="24"/>
      <c r="AA428" s="24"/>
      <c r="AB428" s="24"/>
      <c r="AC428" s="24"/>
      <c r="AD428" s="24"/>
      <c r="AE428" s="24"/>
      <c r="AF428" s="24"/>
      <c r="AG428" s="24"/>
      <c r="AH428" s="24"/>
      <c r="AI428" s="24"/>
      <c r="AJ428" s="25"/>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c r="BJ428" s="24"/>
    </row>
    <row r="429" spans="12:62" x14ac:dyDescent="0.35">
      <c r="L429" s="202"/>
      <c r="P429" s="202"/>
      <c r="W429" s="24"/>
      <c r="X429" s="24"/>
      <c r="Y429" s="24"/>
      <c r="Z429" s="24"/>
      <c r="AA429" s="24"/>
      <c r="AB429" s="24"/>
      <c r="AC429" s="24"/>
      <c r="AD429" s="24"/>
      <c r="AE429" s="24"/>
      <c r="AF429" s="24"/>
      <c r="AG429" s="24"/>
      <c r="AH429" s="24"/>
      <c r="AI429" s="24"/>
      <c r="AJ429" s="25"/>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row>
    <row r="430" spans="12:62" x14ac:dyDescent="0.35">
      <c r="L430" s="202"/>
      <c r="P430" s="202"/>
      <c r="W430" s="24"/>
      <c r="X430" s="24"/>
      <c r="Y430" s="24"/>
      <c r="Z430" s="24"/>
      <c r="AA430" s="24"/>
      <c r="AB430" s="24"/>
      <c r="AC430" s="24"/>
      <c r="AD430" s="24"/>
      <c r="AE430" s="24"/>
      <c r="AF430" s="24"/>
      <c r="AG430" s="24"/>
      <c r="AH430" s="24"/>
      <c r="AI430" s="24"/>
      <c r="AJ430" s="25"/>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c r="BJ430" s="24"/>
    </row>
    <row r="431" spans="12:62" x14ac:dyDescent="0.35">
      <c r="L431" s="202"/>
      <c r="P431" s="202"/>
      <c r="W431" s="24"/>
      <c r="X431" s="24"/>
      <c r="Y431" s="24"/>
      <c r="Z431" s="24"/>
      <c r="AA431" s="24"/>
      <c r="AB431" s="24"/>
      <c r="AC431" s="24"/>
      <c r="AD431" s="24"/>
      <c r="AE431" s="24"/>
      <c r="AF431" s="24"/>
      <c r="AG431" s="24"/>
      <c r="AH431" s="24"/>
      <c r="AI431" s="24"/>
      <c r="AJ431" s="25"/>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c r="BJ431" s="24"/>
    </row>
    <row r="432" spans="12:62" x14ac:dyDescent="0.35">
      <c r="L432" s="202"/>
      <c r="P432" s="202"/>
      <c r="W432" s="24"/>
      <c r="X432" s="24"/>
      <c r="Y432" s="24"/>
      <c r="Z432" s="24"/>
      <c r="AA432" s="24"/>
      <c r="AB432" s="24"/>
      <c r="AC432" s="24"/>
      <c r="AD432" s="24"/>
      <c r="AE432" s="24"/>
      <c r="AF432" s="24"/>
      <c r="AG432" s="24"/>
      <c r="AH432" s="24"/>
      <c r="AI432" s="24"/>
      <c r="AJ432" s="25"/>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c r="BJ432" s="24"/>
    </row>
    <row r="433" spans="12:62" x14ac:dyDescent="0.35">
      <c r="L433" s="202"/>
      <c r="P433" s="202"/>
      <c r="W433" s="24"/>
      <c r="X433" s="24"/>
      <c r="Y433" s="24"/>
      <c r="Z433" s="24"/>
      <c r="AA433" s="24"/>
      <c r="AB433" s="24"/>
      <c r="AC433" s="24"/>
      <c r="AD433" s="24"/>
      <c r="AE433" s="24"/>
      <c r="AF433" s="24"/>
      <c r="AG433" s="24"/>
      <c r="AH433" s="24"/>
      <c r="AI433" s="24"/>
      <c r="AJ433" s="25"/>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row>
    <row r="434" spans="12:62" x14ac:dyDescent="0.35">
      <c r="L434" s="202"/>
      <c r="P434" s="202"/>
      <c r="W434" s="24"/>
      <c r="X434" s="24"/>
      <c r="Y434" s="24"/>
      <c r="Z434" s="24"/>
      <c r="AA434" s="24"/>
      <c r="AB434" s="24"/>
      <c r="AC434" s="24"/>
      <c r="AD434" s="24"/>
      <c r="AE434" s="24"/>
      <c r="AF434" s="24"/>
      <c r="AG434" s="24"/>
      <c r="AH434" s="24"/>
      <c r="AI434" s="24"/>
      <c r="AJ434" s="25"/>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c r="BJ434" s="24"/>
    </row>
    <row r="435" spans="12:62" x14ac:dyDescent="0.35">
      <c r="L435" s="202"/>
      <c r="P435" s="202"/>
      <c r="W435" s="24"/>
      <c r="X435" s="24"/>
      <c r="Y435" s="24"/>
      <c r="Z435" s="24"/>
      <c r="AA435" s="24"/>
      <c r="AB435" s="24"/>
      <c r="AC435" s="24"/>
      <c r="AD435" s="24"/>
      <c r="AE435" s="24"/>
      <c r="AF435" s="24"/>
      <c r="AG435" s="24"/>
      <c r="AH435" s="24"/>
      <c r="AI435" s="24"/>
      <c r="AJ435" s="25"/>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row>
    <row r="436" spans="12:62" x14ac:dyDescent="0.35">
      <c r="L436" s="202"/>
      <c r="P436" s="202"/>
      <c r="W436" s="24"/>
      <c r="X436" s="24"/>
      <c r="Y436" s="24"/>
      <c r="Z436" s="24"/>
      <c r="AA436" s="24"/>
      <c r="AB436" s="24"/>
      <c r="AC436" s="24"/>
      <c r="AD436" s="24"/>
      <c r="AE436" s="24"/>
      <c r="AF436" s="24"/>
      <c r="AG436" s="24"/>
      <c r="AH436" s="24"/>
      <c r="AI436" s="24"/>
      <c r="AJ436" s="25"/>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c r="BJ436" s="24"/>
    </row>
    <row r="437" spans="12:62" x14ac:dyDescent="0.35">
      <c r="L437" s="202"/>
      <c r="P437" s="202"/>
      <c r="W437" s="24"/>
      <c r="X437" s="24"/>
      <c r="Y437" s="24"/>
      <c r="Z437" s="24"/>
      <c r="AA437" s="24"/>
      <c r="AB437" s="24"/>
      <c r="AC437" s="24"/>
      <c r="AD437" s="24"/>
      <c r="AE437" s="24"/>
      <c r="AF437" s="24"/>
      <c r="AG437" s="24"/>
      <c r="AH437" s="24"/>
      <c r="AI437" s="24"/>
      <c r="AJ437" s="25"/>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row>
    <row r="438" spans="12:62" x14ac:dyDescent="0.35">
      <c r="L438" s="202"/>
      <c r="P438" s="202"/>
      <c r="W438" s="24"/>
      <c r="X438" s="24"/>
      <c r="Y438" s="24"/>
      <c r="Z438" s="24"/>
      <c r="AA438" s="24"/>
      <c r="AB438" s="24"/>
      <c r="AC438" s="24"/>
      <c r="AD438" s="24"/>
      <c r="AE438" s="24"/>
      <c r="AF438" s="24"/>
      <c r="AG438" s="24"/>
      <c r="AH438" s="24"/>
      <c r="AI438" s="24"/>
      <c r="AJ438" s="25"/>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c r="BJ438" s="24"/>
    </row>
    <row r="439" spans="12:62" x14ac:dyDescent="0.35">
      <c r="L439" s="202"/>
      <c r="P439" s="202"/>
      <c r="W439" s="24"/>
      <c r="X439" s="24"/>
      <c r="Y439" s="24"/>
      <c r="Z439" s="24"/>
      <c r="AA439" s="24"/>
      <c r="AB439" s="24"/>
      <c r="AC439" s="24"/>
      <c r="AD439" s="24"/>
      <c r="AE439" s="24"/>
      <c r="AF439" s="24"/>
      <c r="AG439" s="24"/>
      <c r="AH439" s="24"/>
      <c r="AI439" s="24"/>
      <c r="AJ439" s="25"/>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row>
    <row r="440" spans="12:62" x14ac:dyDescent="0.35">
      <c r="L440" s="202"/>
      <c r="P440" s="202"/>
      <c r="W440" s="24"/>
      <c r="X440" s="24"/>
      <c r="Y440" s="24"/>
      <c r="Z440" s="24"/>
      <c r="AA440" s="24"/>
      <c r="AB440" s="24"/>
      <c r="AC440" s="24"/>
      <c r="AD440" s="24"/>
      <c r="AE440" s="24"/>
      <c r="AF440" s="24"/>
      <c r="AG440" s="24"/>
      <c r="AH440" s="24"/>
      <c r="AI440" s="24"/>
      <c r="AJ440" s="25"/>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c r="BJ440" s="24"/>
    </row>
    <row r="441" spans="12:62" x14ac:dyDescent="0.35">
      <c r="L441" s="202"/>
      <c r="P441" s="202"/>
      <c r="W441" s="24"/>
      <c r="X441" s="24"/>
      <c r="Y441" s="24"/>
      <c r="Z441" s="24"/>
      <c r="AA441" s="24"/>
      <c r="AB441" s="24"/>
      <c r="AC441" s="24"/>
      <c r="AD441" s="24"/>
      <c r="AE441" s="24"/>
      <c r="AF441" s="24"/>
      <c r="AG441" s="24"/>
      <c r="AH441" s="24"/>
      <c r="AI441" s="24"/>
      <c r="AJ441" s="25"/>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c r="BJ441" s="24"/>
    </row>
    <row r="442" spans="12:62" x14ac:dyDescent="0.35">
      <c r="L442" s="202"/>
      <c r="P442" s="202"/>
      <c r="W442" s="24"/>
      <c r="X442" s="24"/>
      <c r="Y442" s="24"/>
      <c r="Z442" s="24"/>
      <c r="AA442" s="24"/>
      <c r="AB442" s="24"/>
      <c r="AC442" s="24"/>
      <c r="AD442" s="24"/>
      <c r="AE442" s="24"/>
      <c r="AF442" s="24"/>
      <c r="AG442" s="24"/>
      <c r="AH442" s="24"/>
      <c r="AI442" s="24"/>
      <c r="AJ442" s="25"/>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c r="BJ442" s="24"/>
    </row>
    <row r="443" spans="12:62" x14ac:dyDescent="0.35">
      <c r="L443" s="202"/>
      <c r="P443" s="202"/>
      <c r="W443" s="24"/>
      <c r="X443" s="24"/>
      <c r="Y443" s="24"/>
      <c r="Z443" s="24"/>
      <c r="AA443" s="24"/>
      <c r="AB443" s="24"/>
      <c r="AC443" s="24"/>
      <c r="AD443" s="24"/>
      <c r="AE443" s="24"/>
      <c r="AF443" s="24"/>
      <c r="AG443" s="24"/>
      <c r="AH443" s="24"/>
      <c r="AI443" s="24"/>
      <c r="AJ443" s="25"/>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c r="BJ443" s="24"/>
    </row>
    <row r="444" spans="12:62" x14ac:dyDescent="0.35">
      <c r="L444" s="202"/>
      <c r="P444" s="202"/>
      <c r="W444" s="24"/>
      <c r="X444" s="24"/>
      <c r="Y444" s="24"/>
      <c r="Z444" s="24"/>
      <c r="AA444" s="24"/>
      <c r="AB444" s="24"/>
      <c r="AC444" s="24"/>
      <c r="AD444" s="24"/>
      <c r="AE444" s="24"/>
      <c r="AF444" s="24"/>
      <c r="AG444" s="24"/>
      <c r="AH444" s="24"/>
      <c r="AI444" s="24"/>
      <c r="AJ444" s="25"/>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c r="BJ444" s="24"/>
    </row>
    <row r="445" spans="12:62" x14ac:dyDescent="0.35">
      <c r="L445" s="202"/>
      <c r="P445" s="202"/>
      <c r="W445" s="24"/>
      <c r="X445" s="24"/>
      <c r="Y445" s="24"/>
      <c r="Z445" s="24"/>
      <c r="AA445" s="24"/>
      <c r="AB445" s="24"/>
      <c r="AC445" s="24"/>
      <c r="AD445" s="24"/>
      <c r="AE445" s="24"/>
      <c r="AF445" s="24"/>
      <c r="AG445" s="24"/>
      <c r="AH445" s="24"/>
      <c r="AI445" s="24"/>
      <c r="AJ445" s="25"/>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c r="BJ445" s="24"/>
    </row>
    <row r="446" spans="12:62" x14ac:dyDescent="0.35">
      <c r="L446" s="202"/>
      <c r="P446" s="202"/>
      <c r="W446" s="24"/>
      <c r="X446" s="24"/>
      <c r="Y446" s="24"/>
      <c r="Z446" s="24"/>
      <c r="AA446" s="24"/>
      <c r="AB446" s="24"/>
      <c r="AC446" s="24"/>
      <c r="AD446" s="24"/>
      <c r="AE446" s="24"/>
      <c r="AF446" s="24"/>
      <c r="AG446" s="24"/>
      <c r="AH446" s="24"/>
      <c r="AI446" s="24"/>
      <c r="AJ446" s="25"/>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c r="BJ446" s="24"/>
    </row>
    <row r="447" spans="12:62" x14ac:dyDescent="0.35">
      <c r="L447" s="202"/>
      <c r="P447" s="202"/>
      <c r="W447" s="24"/>
      <c r="X447" s="24"/>
      <c r="Y447" s="24"/>
      <c r="Z447" s="24"/>
      <c r="AA447" s="24"/>
      <c r="AB447" s="24"/>
      <c r="AC447" s="24"/>
      <c r="AD447" s="24"/>
      <c r="AE447" s="24"/>
      <c r="AF447" s="24"/>
      <c r="AG447" s="24"/>
      <c r="AH447" s="24"/>
      <c r="AI447" s="24"/>
      <c r="AJ447" s="25"/>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c r="BJ447" s="24"/>
    </row>
    <row r="448" spans="12:62" x14ac:dyDescent="0.35">
      <c r="L448" s="202"/>
      <c r="P448" s="202"/>
      <c r="W448" s="24"/>
      <c r="X448" s="24"/>
      <c r="Y448" s="24"/>
      <c r="Z448" s="24"/>
      <c r="AA448" s="24"/>
      <c r="AB448" s="24"/>
      <c r="AC448" s="24"/>
      <c r="AD448" s="24"/>
      <c r="AE448" s="24"/>
      <c r="AF448" s="24"/>
      <c r="AG448" s="24"/>
      <c r="AH448" s="24"/>
      <c r="AI448" s="24"/>
      <c r="AJ448" s="25"/>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c r="BJ448" s="24"/>
    </row>
    <row r="449" spans="12:62" x14ac:dyDescent="0.35">
      <c r="L449" s="202"/>
      <c r="P449" s="202"/>
      <c r="W449" s="24"/>
      <c r="X449" s="24"/>
      <c r="Y449" s="24"/>
      <c r="Z449" s="24"/>
      <c r="AA449" s="24"/>
      <c r="AB449" s="24"/>
      <c r="AC449" s="24"/>
      <c r="AD449" s="24"/>
      <c r="AE449" s="24"/>
      <c r="AF449" s="24"/>
      <c r="AG449" s="24"/>
      <c r="AH449" s="24"/>
      <c r="AI449" s="24"/>
      <c r="AJ449" s="25"/>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c r="BJ449" s="24"/>
    </row>
    <row r="450" spans="12:62" x14ac:dyDescent="0.35">
      <c r="L450" s="202"/>
      <c r="P450" s="202"/>
      <c r="W450" s="24"/>
      <c r="X450" s="24"/>
      <c r="Y450" s="24"/>
      <c r="Z450" s="24"/>
      <c r="AA450" s="24"/>
      <c r="AB450" s="24"/>
      <c r="AC450" s="24"/>
      <c r="AD450" s="24"/>
      <c r="AE450" s="24"/>
      <c r="AF450" s="24"/>
      <c r="AG450" s="24"/>
      <c r="AH450" s="24"/>
      <c r="AI450" s="24"/>
      <c r="AJ450" s="25"/>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c r="BH450" s="24"/>
      <c r="BI450" s="24"/>
      <c r="BJ450" s="24"/>
    </row>
    <row r="451" spans="12:62" x14ac:dyDescent="0.35">
      <c r="L451" s="202"/>
      <c r="P451" s="202"/>
      <c r="W451" s="24"/>
      <c r="X451" s="24"/>
      <c r="Y451" s="24"/>
      <c r="Z451" s="24"/>
      <c r="AA451" s="24"/>
      <c r="AB451" s="24"/>
      <c r="AC451" s="24"/>
      <c r="AD451" s="24"/>
      <c r="AE451" s="24"/>
      <c r="AF451" s="24"/>
      <c r="AG451" s="24"/>
      <c r="AH451" s="24"/>
      <c r="AI451" s="24"/>
      <c r="AJ451" s="25"/>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c r="BJ451" s="24"/>
    </row>
    <row r="452" spans="12:62" x14ac:dyDescent="0.35">
      <c r="L452" s="202"/>
      <c r="P452" s="202"/>
      <c r="W452" s="24"/>
      <c r="X452" s="24"/>
      <c r="Y452" s="24"/>
      <c r="Z452" s="24"/>
      <c r="AA452" s="24"/>
      <c r="AB452" s="24"/>
      <c r="AC452" s="24"/>
      <c r="AD452" s="24"/>
      <c r="AE452" s="24"/>
      <c r="AF452" s="24"/>
      <c r="AG452" s="24"/>
      <c r="AH452" s="24"/>
      <c r="AI452" s="24"/>
      <c r="AJ452" s="25"/>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c r="BJ452" s="24"/>
    </row>
    <row r="453" spans="12:62" x14ac:dyDescent="0.35">
      <c r="L453" s="202"/>
      <c r="P453" s="202"/>
      <c r="W453" s="24"/>
      <c r="X453" s="24"/>
      <c r="Y453" s="24"/>
      <c r="Z453" s="24"/>
      <c r="AA453" s="24"/>
      <c r="AB453" s="24"/>
      <c r="AC453" s="24"/>
      <c r="AD453" s="24"/>
      <c r="AE453" s="24"/>
      <c r="AF453" s="24"/>
      <c r="AG453" s="24"/>
      <c r="AH453" s="24"/>
      <c r="AI453" s="24"/>
      <c r="AJ453" s="25"/>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c r="BJ453" s="24"/>
    </row>
    <row r="454" spans="12:62" x14ac:dyDescent="0.35">
      <c r="L454" s="202"/>
      <c r="P454" s="202"/>
      <c r="W454" s="24"/>
      <c r="X454" s="24"/>
      <c r="Y454" s="24"/>
      <c r="Z454" s="24"/>
      <c r="AA454" s="24"/>
      <c r="AB454" s="24"/>
      <c r="AC454" s="24"/>
      <c r="AD454" s="24"/>
      <c r="AE454" s="24"/>
      <c r="AF454" s="24"/>
      <c r="AG454" s="24"/>
      <c r="AH454" s="24"/>
      <c r="AI454" s="24"/>
      <c r="AJ454" s="25"/>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c r="BJ454" s="24"/>
    </row>
    <row r="455" spans="12:62" x14ac:dyDescent="0.35">
      <c r="L455" s="202"/>
      <c r="P455" s="202"/>
      <c r="W455" s="24"/>
      <c r="X455" s="24"/>
      <c r="Y455" s="24"/>
      <c r="Z455" s="24"/>
      <c r="AA455" s="24"/>
      <c r="AB455" s="24"/>
      <c r="AC455" s="24"/>
      <c r="AD455" s="24"/>
      <c r="AE455" s="24"/>
      <c r="AF455" s="24"/>
      <c r="AG455" s="24"/>
      <c r="AH455" s="24"/>
      <c r="AI455" s="24"/>
      <c r="AJ455" s="25"/>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c r="BJ455" s="24"/>
    </row>
    <row r="456" spans="12:62" x14ac:dyDescent="0.35">
      <c r="L456" s="202"/>
      <c r="P456" s="202"/>
      <c r="W456" s="24"/>
      <c r="X456" s="24"/>
      <c r="Y456" s="24"/>
      <c r="Z456" s="24"/>
      <c r="AA456" s="24"/>
      <c r="AB456" s="24"/>
      <c r="AC456" s="24"/>
      <c r="AD456" s="24"/>
      <c r="AE456" s="24"/>
      <c r="AF456" s="24"/>
      <c r="AG456" s="24"/>
      <c r="AH456" s="24"/>
      <c r="AI456" s="24"/>
      <c r="AJ456" s="25"/>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c r="BJ456" s="24"/>
    </row>
    <row r="457" spans="12:62" x14ac:dyDescent="0.35">
      <c r="L457" s="202"/>
      <c r="P457" s="202"/>
      <c r="W457" s="24"/>
      <c r="X457" s="24"/>
      <c r="Y457" s="24"/>
      <c r="Z457" s="24"/>
      <c r="AA457" s="24"/>
      <c r="AB457" s="24"/>
      <c r="AC457" s="24"/>
      <c r="AD457" s="24"/>
      <c r="AE457" s="24"/>
      <c r="AF457" s="24"/>
      <c r="AG457" s="24"/>
      <c r="AH457" s="24"/>
      <c r="AI457" s="24"/>
      <c r="AJ457" s="25"/>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c r="BJ457" s="24"/>
    </row>
    <row r="458" spans="12:62" x14ac:dyDescent="0.35">
      <c r="L458" s="202"/>
      <c r="P458" s="202"/>
      <c r="W458" s="24"/>
      <c r="X458" s="24"/>
      <c r="Y458" s="24"/>
      <c r="Z458" s="24"/>
      <c r="AA458" s="24"/>
      <c r="AB458" s="24"/>
      <c r="AC458" s="24"/>
      <c r="AD458" s="24"/>
      <c r="AE458" s="24"/>
      <c r="AF458" s="24"/>
      <c r="AG458" s="24"/>
      <c r="AH458" s="24"/>
      <c r="AI458" s="24"/>
      <c r="AJ458" s="25"/>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c r="BJ458" s="24"/>
    </row>
    <row r="459" spans="12:62" x14ac:dyDescent="0.35">
      <c r="L459" s="202"/>
      <c r="P459" s="202"/>
      <c r="W459" s="24"/>
      <c r="X459" s="24"/>
      <c r="Y459" s="24"/>
      <c r="Z459" s="24"/>
      <c r="AA459" s="24"/>
      <c r="AB459" s="24"/>
      <c r="AC459" s="24"/>
      <c r="AD459" s="24"/>
      <c r="AE459" s="24"/>
      <c r="AF459" s="24"/>
      <c r="AG459" s="24"/>
      <c r="AH459" s="24"/>
      <c r="AI459" s="24"/>
      <c r="AJ459" s="25"/>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c r="BJ459" s="24"/>
    </row>
    <row r="460" spans="12:62" x14ac:dyDescent="0.35">
      <c r="L460" s="202"/>
      <c r="P460" s="202"/>
      <c r="W460" s="24"/>
      <c r="X460" s="24"/>
      <c r="Y460" s="24"/>
      <c r="Z460" s="24"/>
      <c r="AA460" s="24"/>
      <c r="AB460" s="24"/>
      <c r="AC460" s="24"/>
      <c r="AD460" s="24"/>
      <c r="AE460" s="24"/>
      <c r="AF460" s="24"/>
      <c r="AG460" s="24"/>
      <c r="AH460" s="24"/>
      <c r="AI460" s="24"/>
      <c r="AJ460" s="25"/>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c r="BJ460" s="24"/>
    </row>
    <row r="461" spans="12:62" x14ac:dyDescent="0.35">
      <c r="L461" s="202"/>
      <c r="P461" s="202"/>
      <c r="W461" s="24"/>
      <c r="X461" s="24"/>
      <c r="Y461" s="24"/>
      <c r="Z461" s="24"/>
      <c r="AA461" s="24"/>
      <c r="AB461" s="24"/>
      <c r="AC461" s="24"/>
      <c r="AD461" s="24"/>
      <c r="AE461" s="24"/>
      <c r="AF461" s="24"/>
      <c r="AG461" s="24"/>
      <c r="AH461" s="24"/>
      <c r="AI461" s="24"/>
      <c r="AJ461" s="25"/>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c r="BJ461" s="24"/>
    </row>
    <row r="462" spans="12:62" x14ac:dyDescent="0.35">
      <c r="L462" s="202"/>
      <c r="P462" s="202"/>
      <c r="W462" s="24"/>
      <c r="X462" s="24"/>
      <c r="Y462" s="24"/>
      <c r="Z462" s="24"/>
      <c r="AA462" s="24"/>
      <c r="AB462" s="24"/>
      <c r="AC462" s="24"/>
      <c r="AD462" s="24"/>
      <c r="AE462" s="24"/>
      <c r="AF462" s="24"/>
      <c r="AG462" s="24"/>
      <c r="AH462" s="24"/>
      <c r="AI462" s="24"/>
      <c r="AJ462" s="25"/>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c r="BJ462" s="24"/>
    </row>
    <row r="463" spans="12:62" x14ac:dyDescent="0.35">
      <c r="L463" s="202"/>
      <c r="P463" s="202"/>
      <c r="W463" s="24"/>
      <c r="X463" s="24"/>
      <c r="Y463" s="24"/>
      <c r="Z463" s="24"/>
      <c r="AA463" s="24"/>
      <c r="AB463" s="24"/>
      <c r="AC463" s="24"/>
      <c r="AD463" s="24"/>
      <c r="AE463" s="24"/>
      <c r="AF463" s="24"/>
      <c r="AG463" s="24"/>
      <c r="AH463" s="24"/>
      <c r="AI463" s="24"/>
      <c r="AJ463" s="25"/>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c r="BJ463" s="24"/>
    </row>
    <row r="464" spans="12:62" x14ac:dyDescent="0.35">
      <c r="L464" s="202"/>
      <c r="P464" s="202"/>
      <c r="W464" s="24"/>
      <c r="X464" s="24"/>
      <c r="Y464" s="24"/>
      <c r="Z464" s="24"/>
      <c r="AA464" s="24"/>
      <c r="AB464" s="24"/>
      <c r="AC464" s="24"/>
      <c r="AD464" s="24"/>
      <c r="AE464" s="24"/>
      <c r="AF464" s="24"/>
      <c r="AG464" s="24"/>
      <c r="AH464" s="24"/>
      <c r="AI464" s="24"/>
      <c r="AJ464" s="25"/>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row>
    <row r="465" spans="12:62" x14ac:dyDescent="0.35">
      <c r="L465" s="202"/>
      <c r="P465" s="202"/>
      <c r="W465" s="24"/>
      <c r="X465" s="24"/>
      <c r="Y465" s="24"/>
      <c r="Z465" s="24"/>
      <c r="AA465" s="24"/>
      <c r="AB465" s="24"/>
      <c r="AC465" s="24"/>
      <c r="AD465" s="24"/>
      <c r="AE465" s="24"/>
      <c r="AF465" s="24"/>
      <c r="AG465" s="24"/>
      <c r="AH465" s="24"/>
      <c r="AI465" s="24"/>
      <c r="AJ465" s="25"/>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row>
    <row r="466" spans="12:62" x14ac:dyDescent="0.35">
      <c r="L466" s="202"/>
      <c r="P466" s="202"/>
      <c r="W466" s="24"/>
      <c r="X466" s="24"/>
      <c r="Y466" s="24"/>
      <c r="Z466" s="24"/>
      <c r="AA466" s="24"/>
      <c r="AB466" s="24"/>
      <c r="AC466" s="24"/>
      <c r="AD466" s="24"/>
      <c r="AE466" s="24"/>
      <c r="AF466" s="24"/>
      <c r="AG466" s="24"/>
      <c r="AH466" s="24"/>
      <c r="AI466" s="24"/>
      <c r="AJ466" s="25"/>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c r="BJ466" s="24"/>
    </row>
    <row r="467" spans="12:62" x14ac:dyDescent="0.35">
      <c r="L467" s="202"/>
      <c r="P467" s="202"/>
      <c r="W467" s="24"/>
      <c r="X467" s="24"/>
      <c r="Y467" s="24"/>
      <c r="Z467" s="24"/>
      <c r="AA467" s="24"/>
      <c r="AB467" s="24"/>
      <c r="AC467" s="24"/>
      <c r="AD467" s="24"/>
      <c r="AE467" s="24"/>
      <c r="AF467" s="24"/>
      <c r="AG467" s="24"/>
      <c r="AH467" s="24"/>
      <c r="AI467" s="24"/>
      <c r="AJ467" s="25"/>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c r="BJ467" s="24"/>
    </row>
    <row r="468" spans="12:62" x14ac:dyDescent="0.35">
      <c r="L468" s="202"/>
      <c r="P468" s="202"/>
      <c r="W468" s="24"/>
      <c r="X468" s="24"/>
      <c r="Y468" s="24"/>
      <c r="Z468" s="24"/>
      <c r="AA468" s="24"/>
      <c r="AB468" s="24"/>
      <c r="AC468" s="24"/>
      <c r="AD468" s="24"/>
      <c r="AE468" s="24"/>
      <c r="AF468" s="24"/>
      <c r="AG468" s="24"/>
      <c r="AH468" s="24"/>
      <c r="AI468" s="24"/>
      <c r="AJ468" s="25"/>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row>
    <row r="469" spans="12:62" x14ac:dyDescent="0.35">
      <c r="L469" s="202"/>
      <c r="P469" s="202"/>
      <c r="W469" s="24"/>
      <c r="X469" s="24"/>
      <c r="Y469" s="24"/>
      <c r="Z469" s="24"/>
      <c r="AA469" s="24"/>
      <c r="AB469" s="24"/>
      <c r="AC469" s="24"/>
      <c r="AD469" s="24"/>
      <c r="AE469" s="24"/>
      <c r="AF469" s="24"/>
      <c r="AG469" s="24"/>
      <c r="AH469" s="24"/>
      <c r="AI469" s="24"/>
      <c r="AJ469" s="25"/>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c r="BJ469" s="24"/>
    </row>
    <row r="470" spans="12:62" x14ac:dyDescent="0.35">
      <c r="L470" s="202"/>
      <c r="P470" s="202"/>
      <c r="W470" s="24"/>
      <c r="X470" s="24"/>
      <c r="Y470" s="24"/>
      <c r="Z470" s="24"/>
      <c r="AA470" s="24"/>
      <c r="AB470" s="24"/>
      <c r="AC470" s="24"/>
      <c r="AD470" s="24"/>
      <c r="AE470" s="24"/>
      <c r="AF470" s="24"/>
      <c r="AG470" s="24"/>
      <c r="AH470" s="24"/>
      <c r="AI470" s="24"/>
      <c r="AJ470" s="25"/>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row>
    <row r="471" spans="12:62" x14ac:dyDescent="0.35">
      <c r="L471" s="202"/>
      <c r="P471" s="202"/>
      <c r="W471" s="24"/>
      <c r="X471" s="24"/>
      <c r="Y471" s="24"/>
      <c r="Z471" s="24"/>
      <c r="AA471" s="24"/>
      <c r="AB471" s="24"/>
      <c r="AC471" s="24"/>
      <c r="AD471" s="24"/>
      <c r="AE471" s="24"/>
      <c r="AF471" s="24"/>
      <c r="AG471" s="24"/>
      <c r="AH471" s="24"/>
      <c r="AI471" s="24"/>
      <c r="AJ471" s="25"/>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c r="BJ471" s="24"/>
    </row>
    <row r="472" spans="12:62" x14ac:dyDescent="0.35">
      <c r="L472" s="202"/>
      <c r="P472" s="202"/>
      <c r="W472" s="24"/>
      <c r="X472" s="24"/>
      <c r="Y472" s="24"/>
      <c r="Z472" s="24"/>
      <c r="AA472" s="24"/>
      <c r="AB472" s="24"/>
      <c r="AC472" s="24"/>
      <c r="AD472" s="24"/>
      <c r="AE472" s="24"/>
      <c r="AF472" s="24"/>
      <c r="AG472" s="24"/>
      <c r="AH472" s="24"/>
      <c r="AI472" s="24"/>
      <c r="AJ472" s="25"/>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c r="BJ472" s="24"/>
    </row>
    <row r="473" spans="12:62" x14ac:dyDescent="0.35">
      <c r="L473" s="202"/>
      <c r="P473" s="202"/>
      <c r="W473" s="24"/>
      <c r="X473" s="24"/>
      <c r="Y473" s="24"/>
      <c r="Z473" s="24"/>
      <c r="AA473" s="24"/>
      <c r="AB473" s="24"/>
      <c r="AC473" s="24"/>
      <c r="AD473" s="24"/>
      <c r="AE473" s="24"/>
      <c r="AF473" s="24"/>
      <c r="AG473" s="24"/>
      <c r="AH473" s="24"/>
      <c r="AI473" s="24"/>
      <c r="AJ473" s="25"/>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c r="BJ473" s="24"/>
    </row>
    <row r="474" spans="12:62" x14ac:dyDescent="0.35">
      <c r="L474" s="202"/>
      <c r="P474" s="202"/>
      <c r="W474" s="24"/>
      <c r="X474" s="24"/>
      <c r="Y474" s="24"/>
      <c r="Z474" s="24"/>
      <c r="AA474" s="24"/>
      <c r="AB474" s="24"/>
      <c r="AC474" s="24"/>
      <c r="AD474" s="24"/>
      <c r="AE474" s="24"/>
      <c r="AF474" s="24"/>
      <c r="AG474" s="24"/>
      <c r="AH474" s="24"/>
      <c r="AI474" s="24"/>
      <c r="AJ474" s="25"/>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c r="BJ474" s="24"/>
    </row>
    <row r="475" spans="12:62" x14ac:dyDescent="0.35">
      <c r="L475" s="202"/>
      <c r="P475" s="202"/>
      <c r="W475" s="24"/>
      <c r="X475" s="24"/>
      <c r="Y475" s="24"/>
      <c r="Z475" s="24"/>
      <c r="AA475" s="24"/>
      <c r="AB475" s="24"/>
      <c r="AC475" s="24"/>
      <c r="AD475" s="24"/>
      <c r="AE475" s="24"/>
      <c r="AF475" s="24"/>
      <c r="AG475" s="24"/>
      <c r="AH475" s="24"/>
      <c r="AI475" s="24"/>
      <c r="AJ475" s="25"/>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row>
    <row r="476" spans="12:62" x14ac:dyDescent="0.35">
      <c r="L476" s="202"/>
      <c r="P476" s="202"/>
      <c r="W476" s="24"/>
      <c r="X476" s="24"/>
      <c r="Y476" s="24"/>
      <c r="Z476" s="24"/>
      <c r="AA476" s="24"/>
      <c r="AB476" s="24"/>
      <c r="AC476" s="24"/>
      <c r="AD476" s="24"/>
      <c r="AE476" s="24"/>
      <c r="AF476" s="24"/>
      <c r="AG476" s="24"/>
      <c r="AH476" s="24"/>
      <c r="AI476" s="24"/>
      <c r="AJ476" s="25"/>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c r="BJ476" s="24"/>
    </row>
    <row r="477" spans="12:62" x14ac:dyDescent="0.35">
      <c r="L477" s="202"/>
      <c r="P477" s="202"/>
      <c r="W477" s="24"/>
      <c r="X477" s="24"/>
      <c r="Y477" s="24"/>
      <c r="Z477" s="24"/>
      <c r="AA477" s="24"/>
      <c r="AB477" s="24"/>
      <c r="AC477" s="24"/>
      <c r="AD477" s="24"/>
      <c r="AE477" s="24"/>
      <c r="AF477" s="24"/>
      <c r="AG477" s="24"/>
      <c r="AH477" s="24"/>
      <c r="AI477" s="24"/>
      <c r="AJ477" s="25"/>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c r="BJ477" s="24"/>
    </row>
    <row r="478" spans="12:62" x14ac:dyDescent="0.35">
      <c r="L478" s="202"/>
      <c r="P478" s="202"/>
      <c r="W478" s="24"/>
      <c r="X478" s="24"/>
      <c r="Y478" s="24"/>
      <c r="Z478" s="24"/>
      <c r="AA478" s="24"/>
      <c r="AB478" s="24"/>
      <c r="AC478" s="24"/>
      <c r="AD478" s="24"/>
      <c r="AE478" s="24"/>
      <c r="AF478" s="24"/>
      <c r="AG478" s="24"/>
      <c r="AH478" s="24"/>
      <c r="AI478" s="24"/>
      <c r="AJ478" s="25"/>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c r="BJ478" s="24"/>
    </row>
    <row r="479" spans="12:62" x14ac:dyDescent="0.35">
      <c r="L479" s="202"/>
      <c r="P479" s="202"/>
      <c r="W479" s="24"/>
      <c r="X479" s="24"/>
      <c r="Y479" s="24"/>
      <c r="Z479" s="24"/>
      <c r="AA479" s="24"/>
      <c r="AB479" s="24"/>
      <c r="AC479" s="24"/>
      <c r="AD479" s="24"/>
      <c r="AE479" s="24"/>
      <c r="AF479" s="24"/>
      <c r="AG479" s="24"/>
      <c r="AH479" s="24"/>
      <c r="AI479" s="24"/>
      <c r="AJ479" s="25"/>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c r="BJ479" s="24"/>
    </row>
    <row r="480" spans="12:62" x14ac:dyDescent="0.35">
      <c r="L480" s="202"/>
      <c r="P480" s="202"/>
      <c r="W480" s="24"/>
      <c r="X480" s="24"/>
      <c r="Y480" s="24"/>
      <c r="Z480" s="24"/>
      <c r="AA480" s="24"/>
      <c r="AB480" s="24"/>
      <c r="AC480" s="24"/>
      <c r="AD480" s="24"/>
      <c r="AE480" s="24"/>
      <c r="AF480" s="24"/>
      <c r="AG480" s="24"/>
      <c r="AH480" s="24"/>
      <c r="AI480" s="24"/>
      <c r="AJ480" s="25"/>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c r="BJ480" s="24"/>
    </row>
    <row r="481" spans="12:62" x14ac:dyDescent="0.35">
      <c r="L481" s="202"/>
      <c r="P481" s="202"/>
      <c r="W481" s="24"/>
      <c r="X481" s="24"/>
      <c r="Y481" s="24"/>
      <c r="Z481" s="24"/>
      <c r="AA481" s="24"/>
      <c r="AB481" s="24"/>
      <c r="AC481" s="24"/>
      <c r="AD481" s="24"/>
      <c r="AE481" s="24"/>
      <c r="AF481" s="24"/>
      <c r="AG481" s="24"/>
      <c r="AH481" s="24"/>
      <c r="AI481" s="24"/>
      <c r="AJ481" s="25"/>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c r="BJ481" s="24"/>
    </row>
    <row r="482" spans="12:62" x14ac:dyDescent="0.35">
      <c r="L482" s="202"/>
      <c r="P482" s="202"/>
      <c r="W482" s="24"/>
      <c r="X482" s="24"/>
      <c r="Y482" s="24"/>
      <c r="Z482" s="24"/>
      <c r="AA482" s="24"/>
      <c r="AB482" s="24"/>
      <c r="AC482" s="24"/>
      <c r="AD482" s="24"/>
      <c r="AE482" s="24"/>
      <c r="AF482" s="24"/>
      <c r="AG482" s="24"/>
      <c r="AH482" s="24"/>
      <c r="AI482" s="24"/>
      <c r="AJ482" s="25"/>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c r="BJ482" s="24"/>
    </row>
    <row r="483" spans="12:62" x14ac:dyDescent="0.35">
      <c r="L483" s="202"/>
      <c r="P483" s="202"/>
      <c r="W483" s="24"/>
      <c r="X483" s="24"/>
      <c r="Y483" s="24"/>
      <c r="Z483" s="24"/>
      <c r="AA483" s="24"/>
      <c r="AB483" s="24"/>
      <c r="AC483" s="24"/>
      <c r="AD483" s="24"/>
      <c r="AE483" s="24"/>
      <c r="AF483" s="24"/>
      <c r="AG483" s="24"/>
      <c r="AH483" s="24"/>
      <c r="AI483" s="24"/>
      <c r="AJ483" s="25"/>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c r="BJ483" s="24"/>
    </row>
    <row r="484" spans="12:62" x14ac:dyDescent="0.35">
      <c r="L484" s="202"/>
      <c r="P484" s="202"/>
      <c r="W484" s="24"/>
      <c r="X484" s="24"/>
      <c r="Y484" s="24"/>
      <c r="Z484" s="24"/>
      <c r="AA484" s="24"/>
      <c r="AB484" s="24"/>
      <c r="AC484" s="24"/>
      <c r="AD484" s="24"/>
      <c r="AE484" s="24"/>
      <c r="AF484" s="24"/>
      <c r="AG484" s="24"/>
      <c r="AH484" s="24"/>
      <c r="AI484" s="24"/>
      <c r="AJ484" s="25"/>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c r="BJ484" s="24"/>
    </row>
    <row r="485" spans="12:62" x14ac:dyDescent="0.35">
      <c r="L485" s="202"/>
      <c r="P485" s="202"/>
      <c r="W485" s="24"/>
      <c r="X485" s="24"/>
      <c r="Y485" s="24"/>
      <c r="Z485" s="24"/>
      <c r="AA485" s="24"/>
      <c r="AB485" s="24"/>
      <c r="AC485" s="24"/>
      <c r="AD485" s="24"/>
      <c r="AE485" s="24"/>
      <c r="AF485" s="24"/>
      <c r="AG485" s="24"/>
      <c r="AH485" s="24"/>
      <c r="AI485" s="24"/>
      <c r="AJ485" s="25"/>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c r="BJ485" s="24"/>
    </row>
    <row r="486" spans="12:62" x14ac:dyDescent="0.35">
      <c r="L486" s="202"/>
      <c r="P486" s="202"/>
      <c r="W486" s="24"/>
      <c r="X486" s="24"/>
      <c r="Y486" s="24"/>
      <c r="Z486" s="24"/>
      <c r="AA486" s="24"/>
      <c r="AB486" s="24"/>
      <c r="AC486" s="24"/>
      <c r="AD486" s="24"/>
      <c r="AE486" s="24"/>
      <c r="AF486" s="24"/>
      <c r="AG486" s="24"/>
      <c r="AH486" s="24"/>
      <c r="AI486" s="24"/>
      <c r="AJ486" s="25"/>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c r="BJ486" s="24"/>
    </row>
    <row r="487" spans="12:62" x14ac:dyDescent="0.35">
      <c r="L487" s="202"/>
      <c r="P487" s="202"/>
      <c r="W487" s="24"/>
      <c r="X487" s="24"/>
      <c r="Y487" s="24"/>
      <c r="Z487" s="24"/>
      <c r="AA487" s="24"/>
      <c r="AB487" s="24"/>
      <c r="AC487" s="24"/>
      <c r="AD487" s="24"/>
      <c r="AE487" s="24"/>
      <c r="AF487" s="24"/>
      <c r="AG487" s="24"/>
      <c r="AH487" s="24"/>
      <c r="AI487" s="24"/>
      <c r="AJ487" s="25"/>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c r="BJ487" s="24"/>
    </row>
    <row r="488" spans="12:62" x14ac:dyDescent="0.35">
      <c r="L488" s="202"/>
      <c r="P488" s="202"/>
      <c r="W488" s="24"/>
      <c r="X488" s="24"/>
      <c r="Y488" s="24"/>
      <c r="Z488" s="24"/>
      <c r="AA488" s="24"/>
      <c r="AB488" s="24"/>
      <c r="AC488" s="24"/>
      <c r="AD488" s="24"/>
      <c r="AE488" s="24"/>
      <c r="AF488" s="24"/>
      <c r="AG488" s="24"/>
      <c r="AH488" s="24"/>
      <c r="AI488" s="24"/>
      <c r="AJ488" s="25"/>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c r="BJ488" s="24"/>
    </row>
    <row r="489" spans="12:62" x14ac:dyDescent="0.35">
      <c r="L489" s="202"/>
      <c r="P489" s="202"/>
      <c r="W489" s="24"/>
      <c r="X489" s="24"/>
      <c r="Y489" s="24"/>
      <c r="Z489" s="24"/>
      <c r="AA489" s="24"/>
      <c r="AB489" s="24"/>
      <c r="AC489" s="24"/>
      <c r="AD489" s="24"/>
      <c r="AE489" s="24"/>
      <c r="AF489" s="24"/>
      <c r="AG489" s="24"/>
      <c r="AH489" s="24"/>
      <c r="AI489" s="24"/>
      <c r="AJ489" s="25"/>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row>
    <row r="490" spans="12:62" x14ac:dyDescent="0.35">
      <c r="L490" s="202"/>
      <c r="P490" s="202"/>
      <c r="W490" s="24"/>
      <c r="X490" s="24"/>
      <c r="Y490" s="24"/>
      <c r="Z490" s="24"/>
      <c r="AA490" s="24"/>
      <c r="AB490" s="24"/>
      <c r="AC490" s="24"/>
      <c r="AD490" s="24"/>
      <c r="AE490" s="24"/>
      <c r="AF490" s="24"/>
      <c r="AG490" s="24"/>
      <c r="AH490" s="24"/>
      <c r="AI490" s="24"/>
      <c r="AJ490" s="25"/>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c r="BJ490" s="24"/>
    </row>
    <row r="491" spans="12:62" x14ac:dyDescent="0.35">
      <c r="L491" s="202"/>
      <c r="P491" s="202"/>
      <c r="W491" s="24"/>
      <c r="X491" s="24"/>
      <c r="Y491" s="24"/>
      <c r="Z491" s="24"/>
      <c r="AA491" s="24"/>
      <c r="AB491" s="24"/>
      <c r="AC491" s="24"/>
      <c r="AD491" s="24"/>
      <c r="AE491" s="24"/>
      <c r="AF491" s="24"/>
      <c r="AG491" s="24"/>
      <c r="AH491" s="24"/>
      <c r="AI491" s="24"/>
      <c r="AJ491" s="25"/>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c r="BJ491" s="24"/>
    </row>
    <row r="492" spans="12:62" x14ac:dyDescent="0.35">
      <c r="L492" s="202"/>
      <c r="P492" s="202"/>
      <c r="W492" s="24"/>
      <c r="X492" s="24"/>
      <c r="Y492" s="24"/>
      <c r="Z492" s="24"/>
      <c r="AA492" s="24"/>
      <c r="AB492" s="24"/>
      <c r="AC492" s="24"/>
      <c r="AD492" s="24"/>
      <c r="AE492" s="24"/>
      <c r="AF492" s="24"/>
      <c r="AG492" s="24"/>
      <c r="AH492" s="24"/>
      <c r="AI492" s="24"/>
      <c r="AJ492" s="25"/>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c r="BJ492" s="24"/>
    </row>
    <row r="493" spans="12:62" x14ac:dyDescent="0.35">
      <c r="L493" s="202"/>
      <c r="P493" s="202"/>
      <c r="W493" s="24"/>
      <c r="X493" s="24"/>
      <c r="Y493" s="24"/>
      <c r="Z493" s="24"/>
      <c r="AA493" s="24"/>
      <c r="AB493" s="24"/>
      <c r="AC493" s="24"/>
      <c r="AD493" s="24"/>
      <c r="AE493" s="24"/>
      <c r="AF493" s="24"/>
      <c r="AG493" s="24"/>
      <c r="AH493" s="24"/>
      <c r="AI493" s="24"/>
      <c r="AJ493" s="25"/>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c r="BJ493" s="24"/>
    </row>
    <row r="494" spans="12:62" x14ac:dyDescent="0.35">
      <c r="L494" s="202"/>
      <c r="P494" s="202"/>
      <c r="W494" s="24"/>
      <c r="X494" s="24"/>
      <c r="Y494" s="24"/>
      <c r="Z494" s="24"/>
      <c r="AA494" s="24"/>
      <c r="AB494" s="24"/>
      <c r="AC494" s="24"/>
      <c r="AD494" s="24"/>
      <c r="AE494" s="24"/>
      <c r="AF494" s="24"/>
      <c r="AG494" s="24"/>
      <c r="AH494" s="24"/>
      <c r="AI494" s="24"/>
      <c r="AJ494" s="25"/>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c r="BJ494" s="24"/>
    </row>
    <row r="495" spans="12:62" x14ac:dyDescent="0.35">
      <c r="L495" s="202"/>
      <c r="P495" s="202"/>
      <c r="W495" s="24"/>
      <c r="X495" s="24"/>
      <c r="Y495" s="24"/>
      <c r="Z495" s="24"/>
      <c r="AA495" s="24"/>
      <c r="AB495" s="24"/>
      <c r="AC495" s="24"/>
      <c r="AD495" s="24"/>
      <c r="AE495" s="24"/>
      <c r="AF495" s="24"/>
      <c r="AG495" s="24"/>
      <c r="AH495" s="24"/>
      <c r="AI495" s="24"/>
      <c r="AJ495" s="25"/>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c r="BJ495" s="24"/>
    </row>
    <row r="496" spans="12:62" x14ac:dyDescent="0.35">
      <c r="L496" s="202"/>
      <c r="P496" s="202"/>
      <c r="W496" s="24"/>
      <c r="X496" s="24"/>
      <c r="Y496" s="24"/>
      <c r="Z496" s="24"/>
      <c r="AA496" s="24"/>
      <c r="AB496" s="24"/>
      <c r="AC496" s="24"/>
      <c r="AD496" s="24"/>
      <c r="AE496" s="24"/>
      <c r="AF496" s="24"/>
      <c r="AG496" s="24"/>
      <c r="AH496" s="24"/>
      <c r="AI496" s="24"/>
      <c r="AJ496" s="25"/>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c r="BJ496" s="24"/>
    </row>
    <row r="497" spans="12:62" x14ac:dyDescent="0.35">
      <c r="L497" s="202"/>
      <c r="P497" s="202"/>
      <c r="W497" s="24"/>
      <c r="X497" s="24"/>
      <c r="Y497" s="24"/>
      <c r="Z497" s="24"/>
      <c r="AA497" s="24"/>
      <c r="AB497" s="24"/>
      <c r="AC497" s="24"/>
      <c r="AD497" s="24"/>
      <c r="AE497" s="24"/>
      <c r="AF497" s="24"/>
      <c r="AG497" s="24"/>
      <c r="AH497" s="24"/>
      <c r="AI497" s="24"/>
      <c r="AJ497" s="25"/>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c r="BJ497" s="24"/>
    </row>
    <row r="498" spans="12:62" x14ac:dyDescent="0.35">
      <c r="L498" s="202"/>
      <c r="P498" s="202"/>
      <c r="W498" s="24"/>
      <c r="X498" s="24"/>
      <c r="Y498" s="24"/>
      <c r="Z498" s="24"/>
      <c r="AA498" s="24"/>
      <c r="AB498" s="24"/>
      <c r="AC498" s="24"/>
      <c r="AD498" s="24"/>
      <c r="AE498" s="24"/>
      <c r="AF498" s="24"/>
      <c r="AG498" s="24"/>
      <c r="AH498" s="24"/>
      <c r="AI498" s="24"/>
      <c r="AJ498" s="25"/>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c r="BH498" s="24"/>
      <c r="BI498" s="24"/>
      <c r="BJ498" s="24"/>
    </row>
    <row r="499" spans="12:62" x14ac:dyDescent="0.35">
      <c r="L499" s="202"/>
      <c r="P499" s="202"/>
      <c r="W499" s="24"/>
      <c r="X499" s="24"/>
      <c r="Y499" s="24"/>
      <c r="Z499" s="24"/>
      <c r="AA499" s="24"/>
      <c r="AB499" s="24"/>
      <c r="AC499" s="24"/>
      <c r="AD499" s="24"/>
      <c r="AE499" s="24"/>
      <c r="AF499" s="24"/>
      <c r="AG499" s="24"/>
      <c r="AH499" s="24"/>
      <c r="AI499" s="24"/>
      <c r="AJ499" s="25"/>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c r="BJ499" s="24"/>
    </row>
    <row r="500" spans="12:62" x14ac:dyDescent="0.35">
      <c r="L500" s="202"/>
      <c r="P500" s="202"/>
      <c r="W500" s="24"/>
      <c r="X500" s="24"/>
      <c r="Y500" s="24"/>
      <c r="Z500" s="24"/>
      <c r="AA500" s="24"/>
      <c r="AB500" s="24"/>
      <c r="AC500" s="24"/>
      <c r="AD500" s="24"/>
      <c r="AE500" s="24"/>
      <c r="AF500" s="24"/>
      <c r="AG500" s="24"/>
      <c r="AH500" s="24"/>
      <c r="AI500" s="24"/>
      <c r="AJ500" s="25"/>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c r="BJ500" s="24"/>
    </row>
    <row r="501" spans="12:62" x14ac:dyDescent="0.35">
      <c r="L501" s="202"/>
      <c r="P501" s="202"/>
      <c r="W501" s="24"/>
      <c r="X501" s="24"/>
      <c r="Y501" s="24"/>
      <c r="Z501" s="24"/>
      <c r="AA501" s="24"/>
      <c r="AB501" s="24"/>
      <c r="AC501" s="24"/>
      <c r="AD501" s="24"/>
      <c r="AE501" s="24"/>
      <c r="AF501" s="24"/>
      <c r="AG501" s="24"/>
      <c r="AH501" s="24"/>
      <c r="AI501" s="24"/>
      <c r="AJ501" s="25"/>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c r="BJ501" s="24"/>
    </row>
    <row r="502" spans="12:62" x14ac:dyDescent="0.35">
      <c r="L502" s="202"/>
      <c r="P502" s="202"/>
      <c r="W502" s="24"/>
      <c r="X502" s="24"/>
      <c r="Y502" s="24"/>
      <c r="Z502" s="24"/>
      <c r="AA502" s="24"/>
      <c r="AB502" s="24"/>
      <c r="AC502" s="24"/>
      <c r="AD502" s="24"/>
      <c r="AE502" s="24"/>
      <c r="AF502" s="24"/>
      <c r="AG502" s="24"/>
      <c r="AH502" s="24"/>
      <c r="AI502" s="24"/>
      <c r="AJ502" s="25"/>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c r="BJ502" s="24"/>
    </row>
    <row r="503" spans="12:62" x14ac:dyDescent="0.35">
      <c r="L503" s="202"/>
      <c r="P503" s="202"/>
      <c r="W503" s="24"/>
      <c r="X503" s="24"/>
      <c r="Y503" s="24"/>
      <c r="Z503" s="24"/>
      <c r="AA503" s="24"/>
      <c r="AB503" s="24"/>
      <c r="AC503" s="24"/>
      <c r="AD503" s="24"/>
      <c r="AE503" s="24"/>
      <c r="AF503" s="24"/>
      <c r="AG503" s="24"/>
      <c r="AH503" s="24"/>
      <c r="AI503" s="24"/>
      <c r="AJ503" s="25"/>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c r="BJ503" s="24"/>
    </row>
    <row r="504" spans="12:62" x14ac:dyDescent="0.35">
      <c r="L504" s="202"/>
      <c r="P504" s="202"/>
      <c r="W504" s="24"/>
      <c r="X504" s="24"/>
      <c r="Y504" s="24"/>
      <c r="Z504" s="24"/>
      <c r="AA504" s="24"/>
      <c r="AB504" s="24"/>
      <c r="AC504" s="24"/>
      <c r="AD504" s="24"/>
      <c r="AE504" s="24"/>
      <c r="AF504" s="24"/>
      <c r="AG504" s="24"/>
      <c r="AH504" s="24"/>
      <c r="AI504" s="24"/>
      <c r="AJ504" s="25"/>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c r="BJ504" s="24"/>
    </row>
    <row r="505" spans="12:62" x14ac:dyDescent="0.35">
      <c r="L505" s="202"/>
      <c r="P505" s="202"/>
      <c r="W505" s="24"/>
      <c r="X505" s="24"/>
      <c r="Y505" s="24"/>
      <c r="Z505" s="24"/>
      <c r="AA505" s="24"/>
      <c r="AB505" s="24"/>
      <c r="AC505" s="24"/>
      <c r="AD505" s="24"/>
      <c r="AE505" s="24"/>
      <c r="AF505" s="24"/>
      <c r="AG505" s="24"/>
      <c r="AH505" s="24"/>
      <c r="AI505" s="24"/>
      <c r="AJ505" s="25"/>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c r="BJ505" s="24"/>
    </row>
    <row r="506" spans="12:62" x14ac:dyDescent="0.35">
      <c r="L506" s="202"/>
      <c r="P506" s="202"/>
      <c r="W506" s="24"/>
      <c r="X506" s="24"/>
      <c r="Y506" s="24"/>
      <c r="Z506" s="24"/>
      <c r="AA506" s="24"/>
      <c r="AB506" s="24"/>
      <c r="AC506" s="24"/>
      <c r="AD506" s="24"/>
      <c r="AE506" s="24"/>
      <c r="AF506" s="24"/>
      <c r="AG506" s="24"/>
      <c r="AH506" s="24"/>
      <c r="AI506" s="24"/>
      <c r="AJ506" s="25"/>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c r="BJ506" s="24"/>
    </row>
    <row r="507" spans="12:62" x14ac:dyDescent="0.35">
      <c r="L507" s="202"/>
      <c r="P507" s="202"/>
      <c r="W507" s="24"/>
      <c r="X507" s="24"/>
      <c r="Y507" s="24"/>
      <c r="Z507" s="24"/>
      <c r="AA507" s="24"/>
      <c r="AB507" s="24"/>
      <c r="AC507" s="24"/>
      <c r="AD507" s="24"/>
      <c r="AE507" s="24"/>
      <c r="AF507" s="24"/>
      <c r="AG507" s="24"/>
      <c r="AH507" s="24"/>
      <c r="AI507" s="24"/>
      <c r="AJ507" s="25"/>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c r="BJ507" s="24"/>
    </row>
    <row r="508" spans="12:62" x14ac:dyDescent="0.35">
      <c r="L508" s="202"/>
      <c r="P508" s="202"/>
      <c r="W508" s="24"/>
      <c r="X508" s="24"/>
      <c r="Y508" s="24"/>
      <c r="Z508" s="24"/>
      <c r="AA508" s="24"/>
      <c r="AB508" s="24"/>
      <c r="AC508" s="24"/>
      <c r="AD508" s="24"/>
      <c r="AE508" s="24"/>
      <c r="AF508" s="24"/>
      <c r="AG508" s="24"/>
      <c r="AH508" s="24"/>
      <c r="AI508" s="24"/>
      <c r="AJ508" s="25"/>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c r="BJ508" s="24"/>
    </row>
    <row r="509" spans="12:62" x14ac:dyDescent="0.35">
      <c r="L509" s="202"/>
      <c r="P509" s="202"/>
      <c r="W509" s="24"/>
      <c r="X509" s="24"/>
      <c r="Y509" s="24"/>
      <c r="Z509" s="24"/>
      <c r="AA509" s="24"/>
      <c r="AB509" s="24"/>
      <c r="AC509" s="24"/>
      <c r="AD509" s="24"/>
      <c r="AE509" s="24"/>
      <c r="AF509" s="24"/>
      <c r="AG509" s="24"/>
      <c r="AH509" s="24"/>
      <c r="AI509" s="24"/>
      <c r="AJ509" s="25"/>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c r="BJ509" s="24"/>
    </row>
    <row r="510" spans="12:62" x14ac:dyDescent="0.35">
      <c r="L510" s="202"/>
      <c r="P510" s="202"/>
      <c r="W510" s="24"/>
      <c r="X510" s="24"/>
      <c r="Y510" s="24"/>
      <c r="Z510" s="24"/>
      <c r="AA510" s="24"/>
      <c r="AB510" s="24"/>
      <c r="AC510" s="24"/>
      <c r="AD510" s="24"/>
      <c r="AE510" s="24"/>
      <c r="AF510" s="24"/>
      <c r="AG510" s="24"/>
      <c r="AH510" s="24"/>
      <c r="AI510" s="24"/>
      <c r="AJ510" s="25"/>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c r="BH510" s="24"/>
      <c r="BI510" s="24"/>
      <c r="BJ510" s="24"/>
    </row>
    <row r="511" spans="12:62" x14ac:dyDescent="0.35">
      <c r="L511" s="202"/>
      <c r="P511" s="202"/>
      <c r="W511" s="24"/>
      <c r="X511" s="24"/>
      <c r="Y511" s="24"/>
      <c r="Z511" s="24"/>
      <c r="AA511" s="24"/>
      <c r="AB511" s="24"/>
      <c r="AC511" s="24"/>
      <c r="AD511" s="24"/>
      <c r="AE511" s="24"/>
      <c r="AF511" s="24"/>
      <c r="AG511" s="24"/>
      <c r="AH511" s="24"/>
      <c r="AI511" s="24"/>
      <c r="AJ511" s="25"/>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c r="BJ511" s="24"/>
    </row>
    <row r="512" spans="12:62" x14ac:dyDescent="0.35">
      <c r="L512" s="202"/>
      <c r="P512" s="202"/>
      <c r="W512" s="24"/>
      <c r="X512" s="24"/>
      <c r="Y512" s="24"/>
      <c r="Z512" s="24"/>
      <c r="AA512" s="24"/>
      <c r="AB512" s="24"/>
      <c r="AC512" s="24"/>
      <c r="AD512" s="24"/>
      <c r="AE512" s="24"/>
      <c r="AF512" s="24"/>
      <c r="AG512" s="24"/>
      <c r="AH512" s="24"/>
      <c r="AI512" s="24"/>
      <c r="AJ512" s="25"/>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c r="BJ512" s="24"/>
    </row>
    <row r="513" spans="12:62" x14ac:dyDescent="0.35">
      <c r="L513" s="202"/>
      <c r="P513" s="202"/>
      <c r="W513" s="24"/>
      <c r="X513" s="24"/>
      <c r="Y513" s="24"/>
      <c r="Z513" s="24"/>
      <c r="AA513" s="24"/>
      <c r="AB513" s="24"/>
      <c r="AC513" s="24"/>
      <c r="AD513" s="24"/>
      <c r="AE513" s="24"/>
      <c r="AF513" s="24"/>
      <c r="AG513" s="24"/>
      <c r="AH513" s="24"/>
      <c r="AI513" s="24"/>
      <c r="AJ513" s="25"/>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c r="BJ513" s="24"/>
    </row>
    <row r="514" spans="12:62" x14ac:dyDescent="0.35">
      <c r="L514" s="202"/>
      <c r="P514" s="202"/>
      <c r="W514" s="24"/>
      <c r="X514" s="24"/>
      <c r="Y514" s="24"/>
      <c r="Z514" s="24"/>
      <c r="AA514" s="24"/>
      <c r="AB514" s="24"/>
      <c r="AC514" s="24"/>
      <c r="AD514" s="24"/>
      <c r="AE514" s="24"/>
      <c r="AF514" s="24"/>
      <c r="AG514" s="24"/>
      <c r="AH514" s="24"/>
      <c r="AI514" s="24"/>
      <c r="AJ514" s="25"/>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row>
    <row r="515" spans="12:62" x14ac:dyDescent="0.35">
      <c r="L515" s="202"/>
      <c r="P515" s="202"/>
      <c r="W515" s="24"/>
      <c r="X515" s="24"/>
      <c r="Y515" s="24"/>
      <c r="Z515" s="24"/>
      <c r="AA515" s="24"/>
      <c r="AB515" s="24"/>
      <c r="AC515" s="24"/>
      <c r="AD515" s="24"/>
      <c r="AE515" s="24"/>
      <c r="AF515" s="24"/>
      <c r="AG515" s="24"/>
      <c r="AH515" s="24"/>
      <c r="AI515" s="24"/>
      <c r="AJ515" s="25"/>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c r="BJ515" s="24"/>
    </row>
    <row r="516" spans="12:62" x14ac:dyDescent="0.35">
      <c r="L516" s="202"/>
      <c r="P516" s="202"/>
      <c r="W516" s="24"/>
      <c r="X516" s="24"/>
      <c r="Y516" s="24"/>
      <c r="Z516" s="24"/>
      <c r="AA516" s="24"/>
      <c r="AB516" s="24"/>
      <c r="AC516" s="24"/>
      <c r="AD516" s="24"/>
      <c r="AE516" s="24"/>
      <c r="AF516" s="24"/>
      <c r="AG516" s="24"/>
      <c r="AH516" s="24"/>
      <c r="AI516" s="24"/>
      <c r="AJ516" s="25"/>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c r="BJ516" s="24"/>
    </row>
    <row r="517" spans="12:62" x14ac:dyDescent="0.35">
      <c r="L517" s="202"/>
      <c r="P517" s="202"/>
      <c r="W517" s="24"/>
      <c r="X517" s="24"/>
      <c r="Y517" s="24"/>
      <c r="Z517" s="24"/>
      <c r="AA517" s="24"/>
      <c r="AB517" s="24"/>
      <c r="AC517" s="24"/>
      <c r="AD517" s="24"/>
      <c r="AE517" s="24"/>
      <c r="AF517" s="24"/>
      <c r="AG517" s="24"/>
      <c r="AH517" s="24"/>
      <c r="AI517" s="24"/>
      <c r="AJ517" s="25"/>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row>
    <row r="518" spans="12:62" x14ac:dyDescent="0.35">
      <c r="L518" s="202"/>
      <c r="P518" s="202"/>
      <c r="W518" s="24"/>
      <c r="X518" s="24"/>
      <c r="Y518" s="24"/>
      <c r="Z518" s="24"/>
      <c r="AA518" s="24"/>
      <c r="AB518" s="24"/>
      <c r="AC518" s="24"/>
      <c r="AD518" s="24"/>
      <c r="AE518" s="24"/>
      <c r="AF518" s="24"/>
      <c r="AG518" s="24"/>
      <c r="AH518" s="24"/>
      <c r="AI518" s="24"/>
      <c r="AJ518" s="25"/>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c r="BJ518" s="24"/>
    </row>
    <row r="519" spans="12:62" x14ac:dyDescent="0.35">
      <c r="L519" s="202"/>
      <c r="P519" s="202"/>
      <c r="W519" s="24"/>
      <c r="X519" s="24"/>
      <c r="Y519" s="24"/>
      <c r="Z519" s="24"/>
      <c r="AA519" s="24"/>
      <c r="AB519" s="24"/>
      <c r="AC519" s="24"/>
      <c r="AD519" s="24"/>
      <c r="AE519" s="24"/>
      <c r="AF519" s="24"/>
      <c r="AG519" s="24"/>
      <c r="AH519" s="24"/>
      <c r="AI519" s="24"/>
      <c r="AJ519" s="25"/>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row>
    <row r="520" spans="12:62" x14ac:dyDescent="0.35">
      <c r="L520" s="202"/>
      <c r="P520" s="202"/>
      <c r="W520" s="24"/>
      <c r="X520" s="24"/>
      <c r="Y520" s="24"/>
      <c r="Z520" s="24"/>
      <c r="AA520" s="24"/>
      <c r="AB520" s="24"/>
      <c r="AC520" s="24"/>
      <c r="AD520" s="24"/>
      <c r="AE520" s="24"/>
      <c r="AF520" s="24"/>
      <c r="AG520" s="24"/>
      <c r="AH520" s="24"/>
      <c r="AI520" s="24"/>
      <c r="AJ520" s="25"/>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c r="BJ520" s="24"/>
    </row>
    <row r="521" spans="12:62" x14ac:dyDescent="0.35">
      <c r="L521" s="202"/>
      <c r="P521" s="202"/>
      <c r="W521" s="24"/>
      <c r="X521" s="24"/>
      <c r="Y521" s="24"/>
      <c r="Z521" s="24"/>
      <c r="AA521" s="24"/>
      <c r="AB521" s="24"/>
      <c r="AC521" s="24"/>
      <c r="AD521" s="24"/>
      <c r="AE521" s="24"/>
      <c r="AF521" s="24"/>
      <c r="AG521" s="24"/>
      <c r="AH521" s="24"/>
      <c r="AI521" s="24"/>
      <c r="AJ521" s="25"/>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row>
    <row r="522" spans="12:62" x14ac:dyDescent="0.35">
      <c r="L522" s="202"/>
      <c r="P522" s="202"/>
      <c r="W522" s="24"/>
      <c r="X522" s="24"/>
      <c r="Y522" s="24"/>
      <c r="Z522" s="24"/>
      <c r="AA522" s="24"/>
      <c r="AB522" s="24"/>
      <c r="AC522" s="24"/>
      <c r="AD522" s="24"/>
      <c r="AE522" s="24"/>
      <c r="AF522" s="24"/>
      <c r="AG522" s="24"/>
      <c r="AH522" s="24"/>
      <c r="AI522" s="24"/>
      <c r="AJ522" s="25"/>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c r="BJ522" s="24"/>
    </row>
    <row r="523" spans="12:62" x14ac:dyDescent="0.35">
      <c r="L523" s="202"/>
      <c r="P523" s="202"/>
      <c r="W523" s="24"/>
      <c r="X523" s="24"/>
      <c r="Y523" s="24"/>
      <c r="Z523" s="24"/>
      <c r="AA523" s="24"/>
      <c r="AB523" s="24"/>
      <c r="AC523" s="24"/>
      <c r="AD523" s="24"/>
      <c r="AE523" s="24"/>
      <c r="AF523" s="24"/>
      <c r="AG523" s="24"/>
      <c r="AH523" s="24"/>
      <c r="AI523" s="24"/>
      <c r="AJ523" s="25"/>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row>
    <row r="524" spans="12:62" x14ac:dyDescent="0.35">
      <c r="L524" s="202"/>
      <c r="P524" s="202"/>
      <c r="W524" s="24"/>
      <c r="X524" s="24"/>
      <c r="Y524" s="24"/>
      <c r="Z524" s="24"/>
      <c r="AA524" s="24"/>
      <c r="AB524" s="24"/>
      <c r="AC524" s="24"/>
      <c r="AD524" s="24"/>
      <c r="AE524" s="24"/>
      <c r="AF524" s="24"/>
      <c r="AG524" s="24"/>
      <c r="AH524" s="24"/>
      <c r="AI524" s="24"/>
      <c r="AJ524" s="25"/>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c r="BJ524" s="24"/>
    </row>
    <row r="525" spans="12:62" x14ac:dyDescent="0.35">
      <c r="L525" s="202"/>
      <c r="P525" s="202"/>
      <c r="W525" s="24"/>
      <c r="X525" s="24"/>
      <c r="Y525" s="24"/>
      <c r="Z525" s="24"/>
      <c r="AA525" s="24"/>
      <c r="AB525" s="24"/>
      <c r="AC525" s="24"/>
      <c r="AD525" s="24"/>
      <c r="AE525" s="24"/>
      <c r="AF525" s="24"/>
      <c r="AG525" s="24"/>
      <c r="AH525" s="24"/>
      <c r="AI525" s="24"/>
      <c r="AJ525" s="25"/>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row>
    <row r="526" spans="12:62" x14ac:dyDescent="0.35">
      <c r="L526" s="202"/>
      <c r="P526" s="202"/>
      <c r="W526" s="24"/>
      <c r="X526" s="24"/>
      <c r="Y526" s="24"/>
      <c r="Z526" s="24"/>
      <c r="AA526" s="24"/>
      <c r="AB526" s="24"/>
      <c r="AC526" s="24"/>
      <c r="AD526" s="24"/>
      <c r="AE526" s="24"/>
      <c r="AF526" s="24"/>
      <c r="AG526" s="24"/>
      <c r="AH526" s="24"/>
      <c r="AI526" s="24"/>
      <c r="AJ526" s="25"/>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row>
    <row r="527" spans="12:62" x14ac:dyDescent="0.35">
      <c r="L527" s="202"/>
      <c r="P527" s="202"/>
      <c r="W527" s="24"/>
      <c r="X527" s="24"/>
      <c r="Y527" s="24"/>
      <c r="Z527" s="24"/>
      <c r="AA527" s="24"/>
      <c r="AB527" s="24"/>
      <c r="AC527" s="24"/>
      <c r="AD527" s="24"/>
      <c r="AE527" s="24"/>
      <c r="AF527" s="24"/>
      <c r="AG527" s="24"/>
      <c r="AH527" s="24"/>
      <c r="AI527" s="24"/>
      <c r="AJ527" s="25"/>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row>
    <row r="528" spans="12:62" x14ac:dyDescent="0.35">
      <c r="L528" s="202"/>
      <c r="P528" s="202"/>
      <c r="W528" s="24"/>
      <c r="X528" s="24"/>
      <c r="Y528" s="24"/>
      <c r="Z528" s="24"/>
      <c r="AA528" s="24"/>
      <c r="AB528" s="24"/>
      <c r="AC528" s="24"/>
      <c r="AD528" s="24"/>
      <c r="AE528" s="24"/>
      <c r="AF528" s="24"/>
      <c r="AG528" s="24"/>
      <c r="AH528" s="24"/>
      <c r="AI528" s="24"/>
      <c r="AJ528" s="25"/>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c r="BJ528" s="24"/>
    </row>
    <row r="529" spans="12:62" x14ac:dyDescent="0.35">
      <c r="L529" s="202"/>
      <c r="P529" s="202"/>
      <c r="W529" s="24"/>
      <c r="X529" s="24"/>
      <c r="Y529" s="24"/>
      <c r="Z529" s="24"/>
      <c r="AA529" s="24"/>
      <c r="AB529" s="24"/>
      <c r="AC529" s="24"/>
      <c r="AD529" s="24"/>
      <c r="AE529" s="24"/>
      <c r="AF529" s="24"/>
      <c r="AG529" s="24"/>
      <c r="AH529" s="24"/>
      <c r="AI529" s="24"/>
      <c r="AJ529" s="25"/>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c r="BJ529" s="24"/>
    </row>
    <row r="530" spans="12:62" x14ac:dyDescent="0.35">
      <c r="L530" s="202"/>
      <c r="P530" s="202"/>
      <c r="W530" s="24"/>
      <c r="X530" s="24"/>
      <c r="Y530" s="24"/>
      <c r="Z530" s="24"/>
      <c r="AA530" s="24"/>
      <c r="AB530" s="24"/>
      <c r="AC530" s="24"/>
      <c r="AD530" s="24"/>
      <c r="AE530" s="24"/>
      <c r="AF530" s="24"/>
      <c r="AG530" s="24"/>
      <c r="AH530" s="24"/>
      <c r="AI530" s="24"/>
      <c r="AJ530" s="25"/>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c r="BJ530" s="24"/>
    </row>
    <row r="531" spans="12:62" x14ac:dyDescent="0.35">
      <c r="L531" s="202"/>
      <c r="P531" s="202"/>
      <c r="W531" s="24"/>
      <c r="X531" s="24"/>
      <c r="Y531" s="24"/>
      <c r="Z531" s="24"/>
      <c r="AA531" s="24"/>
      <c r="AB531" s="24"/>
      <c r="AC531" s="24"/>
      <c r="AD531" s="24"/>
      <c r="AE531" s="24"/>
      <c r="AF531" s="24"/>
      <c r="AG531" s="24"/>
      <c r="AH531" s="24"/>
      <c r="AI531" s="24"/>
      <c r="AJ531" s="25"/>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c r="BJ531" s="24"/>
    </row>
    <row r="532" spans="12:62" x14ac:dyDescent="0.35">
      <c r="L532" s="202"/>
      <c r="P532" s="202"/>
      <c r="W532" s="24"/>
      <c r="X532" s="24"/>
      <c r="Y532" s="24"/>
      <c r="Z532" s="24"/>
      <c r="AA532" s="24"/>
      <c r="AB532" s="24"/>
      <c r="AC532" s="24"/>
      <c r="AD532" s="24"/>
      <c r="AE532" s="24"/>
      <c r="AF532" s="24"/>
      <c r="AG532" s="24"/>
      <c r="AH532" s="24"/>
      <c r="AI532" s="24"/>
      <c r="AJ532" s="25"/>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c r="BH532" s="24"/>
      <c r="BI532" s="24"/>
      <c r="BJ532" s="24"/>
    </row>
    <row r="533" spans="12:62" x14ac:dyDescent="0.35">
      <c r="L533" s="202"/>
      <c r="P533" s="202"/>
      <c r="W533" s="24"/>
      <c r="X533" s="24"/>
      <c r="Y533" s="24"/>
      <c r="Z533" s="24"/>
      <c r="AA533" s="24"/>
      <c r="AB533" s="24"/>
      <c r="AC533" s="24"/>
      <c r="AD533" s="24"/>
      <c r="AE533" s="24"/>
      <c r="AF533" s="24"/>
      <c r="AG533" s="24"/>
      <c r="AH533" s="24"/>
      <c r="AI533" s="24"/>
      <c r="AJ533" s="25"/>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c r="BJ533" s="24"/>
    </row>
    <row r="534" spans="12:62" x14ac:dyDescent="0.35">
      <c r="L534" s="202"/>
      <c r="P534" s="202"/>
      <c r="W534" s="24"/>
      <c r="X534" s="24"/>
      <c r="Y534" s="24"/>
      <c r="Z534" s="24"/>
      <c r="AA534" s="24"/>
      <c r="AB534" s="24"/>
      <c r="AC534" s="24"/>
      <c r="AD534" s="24"/>
      <c r="AE534" s="24"/>
      <c r="AF534" s="24"/>
      <c r="AG534" s="24"/>
      <c r="AH534" s="24"/>
      <c r="AI534" s="24"/>
      <c r="AJ534" s="25"/>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c r="BJ534" s="24"/>
    </row>
    <row r="535" spans="12:62" x14ac:dyDescent="0.35">
      <c r="L535" s="202"/>
      <c r="P535" s="202"/>
      <c r="W535" s="24"/>
      <c r="X535" s="24"/>
      <c r="Y535" s="24"/>
      <c r="Z535" s="24"/>
      <c r="AA535" s="24"/>
      <c r="AB535" s="24"/>
      <c r="AC535" s="24"/>
      <c r="AD535" s="24"/>
      <c r="AE535" s="24"/>
      <c r="AF535" s="24"/>
      <c r="AG535" s="24"/>
      <c r="AH535" s="24"/>
      <c r="AI535" s="24"/>
      <c r="AJ535" s="25"/>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c r="BJ535" s="24"/>
    </row>
    <row r="536" spans="12:62" x14ac:dyDescent="0.35">
      <c r="L536" s="202"/>
      <c r="P536" s="202"/>
      <c r="W536" s="24"/>
      <c r="X536" s="24"/>
      <c r="Y536" s="24"/>
      <c r="Z536" s="24"/>
      <c r="AA536" s="24"/>
      <c r="AB536" s="24"/>
      <c r="AC536" s="24"/>
      <c r="AD536" s="24"/>
      <c r="AE536" s="24"/>
      <c r="AF536" s="24"/>
      <c r="AG536" s="24"/>
      <c r="AH536" s="24"/>
      <c r="AI536" s="24"/>
      <c r="AJ536" s="25"/>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c r="BJ536" s="24"/>
    </row>
    <row r="537" spans="12:62" x14ac:dyDescent="0.35">
      <c r="L537" s="202"/>
      <c r="P537" s="202"/>
      <c r="W537" s="24"/>
      <c r="X537" s="24"/>
      <c r="Y537" s="24"/>
      <c r="Z537" s="24"/>
      <c r="AA537" s="24"/>
      <c r="AB537" s="24"/>
      <c r="AC537" s="24"/>
      <c r="AD537" s="24"/>
      <c r="AE537" s="24"/>
      <c r="AF537" s="24"/>
      <c r="AG537" s="24"/>
      <c r="AH537" s="24"/>
      <c r="AI537" s="24"/>
      <c r="AJ537" s="25"/>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c r="BJ537" s="24"/>
    </row>
    <row r="538" spans="12:62" x14ac:dyDescent="0.35">
      <c r="L538" s="202"/>
      <c r="P538" s="202"/>
      <c r="W538" s="24"/>
      <c r="X538" s="24"/>
      <c r="Y538" s="24"/>
      <c r="Z538" s="24"/>
      <c r="AA538" s="24"/>
      <c r="AB538" s="24"/>
      <c r="AC538" s="24"/>
      <c r="AD538" s="24"/>
      <c r="AE538" s="24"/>
      <c r="AF538" s="24"/>
      <c r="AG538" s="24"/>
      <c r="AH538" s="24"/>
      <c r="AI538" s="24"/>
      <c r="AJ538" s="25"/>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c r="BH538" s="24"/>
      <c r="BI538" s="24"/>
      <c r="BJ538" s="24"/>
    </row>
    <row r="539" spans="12:62" x14ac:dyDescent="0.35">
      <c r="L539" s="202"/>
      <c r="P539" s="202"/>
      <c r="W539" s="24"/>
      <c r="X539" s="24"/>
      <c r="Y539" s="24"/>
      <c r="Z539" s="24"/>
      <c r="AA539" s="24"/>
      <c r="AB539" s="24"/>
      <c r="AC539" s="24"/>
      <c r="AD539" s="24"/>
      <c r="AE539" s="24"/>
      <c r="AF539" s="24"/>
      <c r="AG539" s="24"/>
      <c r="AH539" s="24"/>
      <c r="AI539" s="24"/>
      <c r="AJ539" s="25"/>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row>
    <row r="540" spans="12:62" x14ac:dyDescent="0.35">
      <c r="L540" s="202"/>
      <c r="P540" s="202"/>
      <c r="W540" s="24"/>
      <c r="X540" s="24"/>
      <c r="Y540" s="24"/>
      <c r="Z540" s="24"/>
      <c r="AA540" s="24"/>
      <c r="AB540" s="24"/>
      <c r="AC540" s="24"/>
      <c r="AD540" s="24"/>
      <c r="AE540" s="24"/>
      <c r="AF540" s="24"/>
      <c r="AG540" s="24"/>
      <c r="AH540" s="24"/>
      <c r="AI540" s="24"/>
      <c r="AJ540" s="25"/>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c r="BJ540" s="24"/>
    </row>
    <row r="541" spans="12:62" x14ac:dyDescent="0.35">
      <c r="L541" s="202"/>
      <c r="P541" s="202"/>
      <c r="W541" s="24"/>
      <c r="X541" s="24"/>
      <c r="Y541" s="24"/>
      <c r="Z541" s="24"/>
      <c r="AA541" s="24"/>
      <c r="AB541" s="24"/>
      <c r="AC541" s="24"/>
      <c r="AD541" s="24"/>
      <c r="AE541" s="24"/>
      <c r="AF541" s="24"/>
      <c r="AG541" s="24"/>
      <c r="AH541" s="24"/>
      <c r="AI541" s="24"/>
      <c r="AJ541" s="25"/>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c r="BJ541" s="24"/>
    </row>
    <row r="542" spans="12:62" x14ac:dyDescent="0.35">
      <c r="L542" s="202"/>
      <c r="P542" s="202"/>
      <c r="W542" s="24"/>
      <c r="X542" s="24"/>
      <c r="Y542" s="24"/>
      <c r="Z542" s="24"/>
      <c r="AA542" s="24"/>
      <c r="AB542" s="24"/>
      <c r="AC542" s="24"/>
      <c r="AD542" s="24"/>
      <c r="AE542" s="24"/>
      <c r="AF542" s="24"/>
      <c r="AG542" s="24"/>
      <c r="AH542" s="24"/>
      <c r="AI542" s="24"/>
      <c r="AJ542" s="25"/>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c r="BJ542" s="24"/>
    </row>
    <row r="543" spans="12:62" x14ac:dyDescent="0.35">
      <c r="L543" s="202"/>
      <c r="P543" s="202"/>
      <c r="W543" s="24"/>
      <c r="X543" s="24"/>
      <c r="Y543" s="24"/>
      <c r="Z543" s="24"/>
      <c r="AA543" s="24"/>
      <c r="AB543" s="24"/>
      <c r="AC543" s="24"/>
      <c r="AD543" s="24"/>
      <c r="AE543" s="24"/>
      <c r="AF543" s="24"/>
      <c r="AG543" s="24"/>
      <c r="AH543" s="24"/>
      <c r="AI543" s="24"/>
      <c r="AJ543" s="25"/>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c r="BJ543" s="24"/>
    </row>
    <row r="544" spans="12:62" x14ac:dyDescent="0.35">
      <c r="L544" s="202"/>
      <c r="P544" s="202"/>
      <c r="W544" s="24"/>
      <c r="X544" s="24"/>
      <c r="Y544" s="24"/>
      <c r="Z544" s="24"/>
      <c r="AA544" s="24"/>
      <c r="AB544" s="24"/>
      <c r="AC544" s="24"/>
      <c r="AD544" s="24"/>
      <c r="AE544" s="24"/>
      <c r="AF544" s="24"/>
      <c r="AG544" s="24"/>
      <c r="AH544" s="24"/>
      <c r="AI544" s="24"/>
      <c r="AJ544" s="25"/>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c r="BJ544" s="24"/>
    </row>
    <row r="545" spans="12:62" x14ac:dyDescent="0.35">
      <c r="L545" s="202"/>
      <c r="P545" s="202"/>
      <c r="W545" s="24"/>
      <c r="X545" s="24"/>
      <c r="Y545" s="24"/>
      <c r="Z545" s="24"/>
      <c r="AA545" s="24"/>
      <c r="AB545" s="24"/>
      <c r="AC545" s="24"/>
      <c r="AD545" s="24"/>
      <c r="AE545" s="24"/>
      <c r="AF545" s="24"/>
      <c r="AG545" s="24"/>
      <c r="AH545" s="24"/>
      <c r="AI545" s="24"/>
      <c r="AJ545" s="25"/>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c r="BJ545" s="24"/>
    </row>
    <row r="546" spans="12:62" x14ac:dyDescent="0.35">
      <c r="L546" s="202"/>
      <c r="P546" s="202"/>
      <c r="W546" s="24"/>
      <c r="X546" s="24"/>
      <c r="Y546" s="24"/>
      <c r="Z546" s="24"/>
      <c r="AA546" s="24"/>
      <c r="AB546" s="24"/>
      <c r="AC546" s="24"/>
      <c r="AD546" s="24"/>
      <c r="AE546" s="24"/>
      <c r="AF546" s="24"/>
      <c r="AG546" s="24"/>
      <c r="AH546" s="24"/>
      <c r="AI546" s="24"/>
      <c r="AJ546" s="25"/>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c r="BJ546" s="24"/>
    </row>
    <row r="547" spans="12:62" x14ac:dyDescent="0.35">
      <c r="L547" s="202"/>
      <c r="P547" s="202"/>
      <c r="W547" s="24"/>
      <c r="X547" s="24"/>
      <c r="Y547" s="24"/>
      <c r="Z547" s="24"/>
      <c r="AA547" s="24"/>
      <c r="AB547" s="24"/>
      <c r="AC547" s="24"/>
      <c r="AD547" s="24"/>
      <c r="AE547" s="24"/>
      <c r="AF547" s="24"/>
      <c r="AG547" s="24"/>
      <c r="AH547" s="24"/>
      <c r="AI547" s="24"/>
      <c r="AJ547" s="25"/>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c r="BJ547" s="24"/>
    </row>
    <row r="548" spans="12:62" x14ac:dyDescent="0.35">
      <c r="L548" s="202"/>
      <c r="P548" s="202"/>
      <c r="W548" s="24"/>
      <c r="X548" s="24"/>
      <c r="Y548" s="24"/>
      <c r="Z548" s="24"/>
      <c r="AA548" s="24"/>
      <c r="AB548" s="24"/>
      <c r="AC548" s="24"/>
      <c r="AD548" s="24"/>
      <c r="AE548" s="24"/>
      <c r="AF548" s="24"/>
      <c r="AG548" s="24"/>
      <c r="AH548" s="24"/>
      <c r="AI548" s="24"/>
      <c r="AJ548" s="25"/>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c r="BJ548" s="24"/>
    </row>
    <row r="549" spans="12:62" x14ac:dyDescent="0.35">
      <c r="L549" s="202"/>
      <c r="P549" s="202"/>
      <c r="W549" s="24"/>
      <c r="X549" s="24"/>
      <c r="Y549" s="24"/>
      <c r="Z549" s="24"/>
      <c r="AA549" s="24"/>
      <c r="AB549" s="24"/>
      <c r="AC549" s="24"/>
      <c r="AD549" s="24"/>
      <c r="AE549" s="24"/>
      <c r="AF549" s="24"/>
      <c r="AG549" s="24"/>
      <c r="AH549" s="24"/>
      <c r="AI549" s="24"/>
      <c r="AJ549" s="25"/>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row>
    <row r="550" spans="12:62" x14ac:dyDescent="0.35">
      <c r="L550" s="202"/>
      <c r="P550" s="202"/>
      <c r="W550" s="24"/>
      <c r="X550" s="24"/>
      <c r="Y550" s="24"/>
      <c r="Z550" s="24"/>
      <c r="AA550" s="24"/>
      <c r="AB550" s="24"/>
      <c r="AC550" s="24"/>
      <c r="AD550" s="24"/>
      <c r="AE550" s="24"/>
      <c r="AF550" s="24"/>
      <c r="AG550" s="24"/>
      <c r="AH550" s="24"/>
      <c r="AI550" s="24"/>
      <c r="AJ550" s="25"/>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c r="BJ550" s="24"/>
    </row>
    <row r="551" spans="12:62" x14ac:dyDescent="0.35">
      <c r="L551" s="202"/>
      <c r="P551" s="202"/>
      <c r="W551" s="24"/>
      <c r="X551" s="24"/>
      <c r="Y551" s="24"/>
      <c r="Z551" s="24"/>
      <c r="AA551" s="24"/>
      <c r="AB551" s="24"/>
      <c r="AC551" s="24"/>
      <c r="AD551" s="24"/>
      <c r="AE551" s="24"/>
      <c r="AF551" s="24"/>
      <c r="AG551" s="24"/>
      <c r="AH551" s="24"/>
      <c r="AI551" s="24"/>
      <c r="AJ551" s="25"/>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c r="BJ551" s="24"/>
    </row>
    <row r="552" spans="12:62" x14ac:dyDescent="0.35">
      <c r="L552" s="202"/>
      <c r="P552" s="202"/>
      <c r="W552" s="24"/>
      <c r="X552" s="24"/>
      <c r="Y552" s="24"/>
      <c r="Z552" s="24"/>
      <c r="AA552" s="24"/>
      <c r="AB552" s="24"/>
      <c r="AC552" s="24"/>
      <c r="AD552" s="24"/>
      <c r="AE552" s="24"/>
      <c r="AF552" s="24"/>
      <c r="AG552" s="24"/>
      <c r="AH552" s="24"/>
      <c r="AI552" s="24"/>
      <c r="AJ552" s="25"/>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c r="BJ552" s="24"/>
    </row>
    <row r="553" spans="12:62" x14ac:dyDescent="0.35">
      <c r="L553" s="202"/>
      <c r="P553" s="202"/>
      <c r="W553" s="24"/>
      <c r="X553" s="24"/>
      <c r="Y553" s="24"/>
      <c r="Z553" s="24"/>
      <c r="AA553" s="24"/>
      <c r="AB553" s="24"/>
      <c r="AC553" s="24"/>
      <c r="AD553" s="24"/>
      <c r="AE553" s="24"/>
      <c r="AF553" s="24"/>
      <c r="AG553" s="24"/>
      <c r="AH553" s="24"/>
      <c r="AI553" s="24"/>
      <c r="AJ553" s="25"/>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c r="BJ553" s="24"/>
    </row>
    <row r="554" spans="12:62" x14ac:dyDescent="0.35">
      <c r="L554" s="202"/>
      <c r="P554" s="202"/>
      <c r="W554" s="24"/>
      <c r="X554" s="24"/>
      <c r="Y554" s="24"/>
      <c r="Z554" s="24"/>
      <c r="AA554" s="24"/>
      <c r="AB554" s="24"/>
      <c r="AC554" s="24"/>
      <c r="AD554" s="24"/>
      <c r="AE554" s="24"/>
      <c r="AF554" s="24"/>
      <c r="AG554" s="24"/>
      <c r="AH554" s="24"/>
      <c r="AI554" s="24"/>
      <c r="AJ554" s="25"/>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c r="BJ554" s="24"/>
    </row>
    <row r="555" spans="12:62" x14ac:dyDescent="0.35">
      <c r="L555" s="202"/>
      <c r="P555" s="202"/>
      <c r="W555" s="24"/>
      <c r="X555" s="24"/>
      <c r="Y555" s="24"/>
      <c r="Z555" s="24"/>
      <c r="AA555" s="24"/>
      <c r="AB555" s="24"/>
      <c r="AC555" s="24"/>
      <c r="AD555" s="24"/>
      <c r="AE555" s="24"/>
      <c r="AF555" s="24"/>
      <c r="AG555" s="24"/>
      <c r="AH555" s="24"/>
      <c r="AI555" s="24"/>
      <c r="AJ555" s="25"/>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c r="BJ555" s="24"/>
    </row>
    <row r="556" spans="12:62" x14ac:dyDescent="0.35">
      <c r="L556" s="202"/>
      <c r="P556" s="202"/>
      <c r="W556" s="24"/>
      <c r="X556" s="24"/>
      <c r="Y556" s="24"/>
      <c r="Z556" s="24"/>
      <c r="AA556" s="24"/>
      <c r="AB556" s="24"/>
      <c r="AC556" s="24"/>
      <c r="AD556" s="24"/>
      <c r="AE556" s="24"/>
      <c r="AF556" s="24"/>
      <c r="AG556" s="24"/>
      <c r="AH556" s="24"/>
      <c r="AI556" s="24"/>
      <c r="AJ556" s="25"/>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c r="BJ556" s="24"/>
    </row>
    <row r="557" spans="12:62" x14ac:dyDescent="0.35">
      <c r="L557" s="202"/>
      <c r="P557" s="202"/>
      <c r="W557" s="24"/>
      <c r="X557" s="24"/>
      <c r="Y557" s="24"/>
      <c r="Z557" s="24"/>
      <c r="AA557" s="24"/>
      <c r="AB557" s="24"/>
      <c r="AC557" s="24"/>
      <c r="AD557" s="24"/>
      <c r="AE557" s="24"/>
      <c r="AF557" s="24"/>
      <c r="AG557" s="24"/>
      <c r="AH557" s="24"/>
      <c r="AI557" s="24"/>
      <c r="AJ557" s="25"/>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c r="BJ557" s="24"/>
    </row>
    <row r="558" spans="12:62" x14ac:dyDescent="0.35">
      <c r="L558" s="202"/>
      <c r="P558" s="202"/>
      <c r="W558" s="24"/>
      <c r="X558" s="24"/>
      <c r="Y558" s="24"/>
      <c r="Z558" s="24"/>
      <c r="AA558" s="24"/>
      <c r="AB558" s="24"/>
      <c r="AC558" s="24"/>
      <c r="AD558" s="24"/>
      <c r="AE558" s="24"/>
      <c r="AF558" s="24"/>
      <c r="AG558" s="24"/>
      <c r="AH558" s="24"/>
      <c r="AI558" s="24"/>
      <c r="AJ558" s="25"/>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c r="BJ558" s="24"/>
    </row>
    <row r="559" spans="12:62" x14ac:dyDescent="0.35">
      <c r="L559" s="202"/>
      <c r="P559" s="202"/>
      <c r="W559" s="24"/>
      <c r="X559" s="24"/>
      <c r="Y559" s="24"/>
      <c r="Z559" s="24"/>
      <c r="AA559" s="24"/>
      <c r="AB559" s="24"/>
      <c r="AC559" s="24"/>
      <c r="AD559" s="24"/>
      <c r="AE559" s="24"/>
      <c r="AF559" s="24"/>
      <c r="AG559" s="24"/>
      <c r="AH559" s="24"/>
      <c r="AI559" s="24"/>
      <c r="AJ559" s="25"/>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c r="BJ559" s="24"/>
    </row>
    <row r="560" spans="12:62" x14ac:dyDescent="0.35">
      <c r="L560" s="202"/>
      <c r="P560" s="202"/>
      <c r="W560" s="24"/>
      <c r="X560" s="24"/>
      <c r="Y560" s="24"/>
      <c r="Z560" s="24"/>
      <c r="AA560" s="24"/>
      <c r="AB560" s="24"/>
      <c r="AC560" s="24"/>
      <c r="AD560" s="24"/>
      <c r="AE560" s="24"/>
      <c r="AF560" s="24"/>
      <c r="AG560" s="24"/>
      <c r="AH560" s="24"/>
      <c r="AI560" s="24"/>
      <c r="AJ560" s="25"/>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c r="BJ560" s="24"/>
    </row>
    <row r="561" spans="12:62" x14ac:dyDescent="0.35">
      <c r="L561" s="202"/>
      <c r="P561" s="202"/>
      <c r="W561" s="24"/>
      <c r="X561" s="24"/>
      <c r="Y561" s="24"/>
      <c r="Z561" s="24"/>
      <c r="AA561" s="24"/>
      <c r="AB561" s="24"/>
      <c r="AC561" s="24"/>
      <c r="AD561" s="24"/>
      <c r="AE561" s="24"/>
      <c r="AF561" s="24"/>
      <c r="AG561" s="24"/>
      <c r="AH561" s="24"/>
      <c r="AI561" s="24"/>
      <c r="AJ561" s="25"/>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c r="BJ561" s="24"/>
    </row>
    <row r="562" spans="12:62" x14ac:dyDescent="0.35">
      <c r="L562" s="202"/>
      <c r="P562" s="202"/>
      <c r="W562" s="24"/>
      <c r="X562" s="24"/>
      <c r="Y562" s="24"/>
      <c r="Z562" s="24"/>
      <c r="AA562" s="24"/>
      <c r="AB562" s="24"/>
      <c r="AC562" s="24"/>
      <c r="AD562" s="24"/>
      <c r="AE562" s="24"/>
      <c r="AF562" s="24"/>
      <c r="AG562" s="24"/>
      <c r="AH562" s="24"/>
      <c r="AI562" s="24"/>
      <c r="AJ562" s="25"/>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c r="BJ562" s="24"/>
    </row>
    <row r="563" spans="12:62" x14ac:dyDescent="0.35">
      <c r="L563" s="202"/>
      <c r="P563" s="202"/>
      <c r="W563" s="24"/>
      <c r="X563" s="24"/>
      <c r="Y563" s="24"/>
      <c r="Z563" s="24"/>
      <c r="AA563" s="24"/>
      <c r="AB563" s="24"/>
      <c r="AC563" s="24"/>
      <c r="AD563" s="24"/>
      <c r="AE563" s="24"/>
      <c r="AF563" s="24"/>
      <c r="AG563" s="24"/>
      <c r="AH563" s="24"/>
      <c r="AI563" s="24"/>
      <c r="AJ563" s="25"/>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row>
    <row r="564" spans="12:62" x14ac:dyDescent="0.35">
      <c r="L564" s="202"/>
      <c r="P564" s="202"/>
      <c r="W564" s="24"/>
      <c r="X564" s="24"/>
      <c r="Y564" s="24"/>
      <c r="Z564" s="24"/>
      <c r="AA564" s="24"/>
      <c r="AB564" s="24"/>
      <c r="AC564" s="24"/>
      <c r="AD564" s="24"/>
      <c r="AE564" s="24"/>
      <c r="AF564" s="24"/>
      <c r="AG564" s="24"/>
      <c r="AH564" s="24"/>
      <c r="AI564" s="24"/>
      <c r="AJ564" s="25"/>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row>
    <row r="565" spans="12:62" x14ac:dyDescent="0.35">
      <c r="L565" s="202"/>
      <c r="P565" s="202"/>
      <c r="W565" s="24"/>
      <c r="X565" s="24"/>
      <c r="Y565" s="24"/>
      <c r="Z565" s="24"/>
      <c r="AA565" s="24"/>
      <c r="AB565" s="24"/>
      <c r="AC565" s="24"/>
      <c r="AD565" s="24"/>
      <c r="AE565" s="24"/>
      <c r="AF565" s="24"/>
      <c r="AG565" s="24"/>
      <c r="AH565" s="24"/>
      <c r="AI565" s="24"/>
      <c r="AJ565" s="25"/>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c r="BJ565" s="24"/>
    </row>
    <row r="566" spans="12:62" x14ac:dyDescent="0.35">
      <c r="L566" s="202"/>
      <c r="P566" s="202"/>
      <c r="W566" s="24"/>
      <c r="X566" s="24"/>
      <c r="Y566" s="24"/>
      <c r="Z566" s="24"/>
      <c r="AA566" s="24"/>
      <c r="AB566" s="24"/>
      <c r="AC566" s="24"/>
      <c r="AD566" s="24"/>
      <c r="AE566" s="24"/>
      <c r="AF566" s="24"/>
      <c r="AG566" s="24"/>
      <c r="AH566" s="24"/>
      <c r="AI566" s="24"/>
      <c r="AJ566" s="25"/>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c r="BJ566" s="24"/>
    </row>
    <row r="567" spans="12:62" x14ac:dyDescent="0.35">
      <c r="L567" s="202"/>
      <c r="P567" s="202"/>
      <c r="W567" s="24"/>
      <c r="X567" s="24"/>
      <c r="Y567" s="24"/>
      <c r="Z567" s="24"/>
      <c r="AA567" s="24"/>
      <c r="AB567" s="24"/>
      <c r="AC567" s="24"/>
      <c r="AD567" s="24"/>
      <c r="AE567" s="24"/>
      <c r="AF567" s="24"/>
      <c r="AG567" s="24"/>
      <c r="AH567" s="24"/>
      <c r="AI567" s="24"/>
      <c r="AJ567" s="25"/>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c r="BJ567" s="24"/>
    </row>
    <row r="568" spans="12:62" x14ac:dyDescent="0.35">
      <c r="L568" s="202"/>
      <c r="P568" s="202"/>
      <c r="W568" s="24"/>
      <c r="X568" s="24"/>
      <c r="Y568" s="24"/>
      <c r="Z568" s="24"/>
      <c r="AA568" s="24"/>
      <c r="AB568" s="24"/>
      <c r="AC568" s="24"/>
      <c r="AD568" s="24"/>
      <c r="AE568" s="24"/>
      <c r="AF568" s="24"/>
      <c r="AG568" s="24"/>
      <c r="AH568" s="24"/>
      <c r="AI568" s="24"/>
      <c r="AJ568" s="25"/>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c r="BJ568" s="24"/>
    </row>
    <row r="569" spans="12:62" x14ac:dyDescent="0.35">
      <c r="L569" s="202"/>
      <c r="P569" s="202"/>
      <c r="W569" s="24"/>
      <c r="X569" s="24"/>
      <c r="Y569" s="24"/>
      <c r="Z569" s="24"/>
      <c r="AA569" s="24"/>
      <c r="AB569" s="24"/>
      <c r="AC569" s="24"/>
      <c r="AD569" s="24"/>
      <c r="AE569" s="24"/>
      <c r="AF569" s="24"/>
      <c r="AG569" s="24"/>
      <c r="AH569" s="24"/>
      <c r="AI569" s="24"/>
      <c r="AJ569" s="25"/>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c r="BJ569" s="24"/>
    </row>
    <row r="570" spans="12:62" x14ac:dyDescent="0.35">
      <c r="L570" s="202"/>
      <c r="P570" s="202"/>
      <c r="W570" s="24"/>
      <c r="X570" s="24"/>
      <c r="Y570" s="24"/>
      <c r="Z570" s="24"/>
      <c r="AA570" s="24"/>
      <c r="AB570" s="24"/>
      <c r="AC570" s="24"/>
      <c r="AD570" s="24"/>
      <c r="AE570" s="24"/>
      <c r="AF570" s="24"/>
      <c r="AG570" s="24"/>
      <c r="AH570" s="24"/>
      <c r="AI570" s="24"/>
      <c r="AJ570" s="25"/>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c r="BH570" s="24"/>
      <c r="BI570" s="24"/>
      <c r="BJ570" s="24"/>
    </row>
    <row r="571" spans="12:62" x14ac:dyDescent="0.35">
      <c r="L571" s="202"/>
      <c r="P571" s="202"/>
      <c r="W571" s="24"/>
      <c r="X571" s="24"/>
      <c r="Y571" s="24"/>
      <c r="Z571" s="24"/>
      <c r="AA571" s="24"/>
      <c r="AB571" s="24"/>
      <c r="AC571" s="24"/>
      <c r="AD571" s="24"/>
      <c r="AE571" s="24"/>
      <c r="AF571" s="24"/>
      <c r="AG571" s="24"/>
      <c r="AH571" s="24"/>
      <c r="AI571" s="24"/>
      <c r="AJ571" s="25"/>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c r="BJ571" s="24"/>
    </row>
    <row r="572" spans="12:62" x14ac:dyDescent="0.35">
      <c r="L572" s="202"/>
      <c r="P572" s="202"/>
      <c r="W572" s="24"/>
      <c r="X572" s="24"/>
      <c r="Y572" s="24"/>
      <c r="Z572" s="24"/>
      <c r="AA572" s="24"/>
      <c r="AB572" s="24"/>
      <c r="AC572" s="24"/>
      <c r="AD572" s="24"/>
      <c r="AE572" s="24"/>
      <c r="AF572" s="24"/>
      <c r="AG572" s="24"/>
      <c r="AH572" s="24"/>
      <c r="AI572" s="24"/>
      <c r="AJ572" s="25"/>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c r="BJ572" s="24"/>
    </row>
    <row r="573" spans="12:62" x14ac:dyDescent="0.35">
      <c r="L573" s="202"/>
      <c r="P573" s="202"/>
      <c r="W573" s="24"/>
      <c r="X573" s="24"/>
      <c r="Y573" s="24"/>
      <c r="Z573" s="24"/>
      <c r="AA573" s="24"/>
      <c r="AB573" s="24"/>
      <c r="AC573" s="24"/>
      <c r="AD573" s="24"/>
      <c r="AE573" s="24"/>
      <c r="AF573" s="24"/>
      <c r="AG573" s="24"/>
      <c r="AH573" s="24"/>
      <c r="AI573" s="24"/>
      <c r="AJ573" s="25"/>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c r="BJ573" s="24"/>
    </row>
    <row r="574" spans="12:62" x14ac:dyDescent="0.35">
      <c r="L574" s="202"/>
      <c r="P574" s="202"/>
      <c r="W574" s="24"/>
      <c r="X574" s="24"/>
      <c r="Y574" s="24"/>
      <c r="Z574" s="24"/>
      <c r="AA574" s="24"/>
      <c r="AB574" s="24"/>
      <c r="AC574" s="24"/>
      <c r="AD574" s="24"/>
      <c r="AE574" s="24"/>
      <c r="AF574" s="24"/>
      <c r="AG574" s="24"/>
      <c r="AH574" s="24"/>
      <c r="AI574" s="24"/>
      <c r="AJ574" s="25"/>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c r="BH574" s="24"/>
      <c r="BI574" s="24"/>
      <c r="BJ574" s="24"/>
    </row>
    <row r="575" spans="12:62" x14ac:dyDescent="0.35">
      <c r="L575" s="202"/>
      <c r="P575" s="202"/>
      <c r="W575" s="24"/>
      <c r="X575" s="24"/>
      <c r="Y575" s="24"/>
      <c r="Z575" s="24"/>
      <c r="AA575" s="24"/>
      <c r="AB575" s="24"/>
      <c r="AC575" s="24"/>
      <c r="AD575" s="24"/>
      <c r="AE575" s="24"/>
      <c r="AF575" s="24"/>
      <c r="AG575" s="24"/>
      <c r="AH575" s="24"/>
      <c r="AI575" s="24"/>
      <c r="AJ575" s="25"/>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c r="BJ575" s="24"/>
    </row>
    <row r="576" spans="12:62" x14ac:dyDescent="0.35">
      <c r="L576" s="202"/>
      <c r="P576" s="202"/>
      <c r="W576" s="24"/>
      <c r="X576" s="24"/>
      <c r="Y576" s="24"/>
      <c r="Z576" s="24"/>
      <c r="AA576" s="24"/>
      <c r="AB576" s="24"/>
      <c r="AC576" s="24"/>
      <c r="AD576" s="24"/>
      <c r="AE576" s="24"/>
      <c r="AF576" s="24"/>
      <c r="AG576" s="24"/>
      <c r="AH576" s="24"/>
      <c r="AI576" s="24"/>
      <c r="AJ576" s="25"/>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c r="BJ576" s="24"/>
    </row>
    <row r="577" spans="12:62" x14ac:dyDescent="0.35">
      <c r="L577" s="202"/>
      <c r="P577" s="202"/>
      <c r="W577" s="24"/>
      <c r="X577" s="24"/>
      <c r="Y577" s="24"/>
      <c r="Z577" s="24"/>
      <c r="AA577" s="24"/>
      <c r="AB577" s="24"/>
      <c r="AC577" s="24"/>
      <c r="AD577" s="24"/>
      <c r="AE577" s="24"/>
      <c r="AF577" s="24"/>
      <c r="AG577" s="24"/>
      <c r="AH577" s="24"/>
      <c r="AI577" s="24"/>
      <c r="AJ577" s="25"/>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c r="BJ577" s="24"/>
    </row>
    <row r="578" spans="12:62" x14ac:dyDescent="0.35">
      <c r="L578" s="202"/>
      <c r="P578" s="202"/>
      <c r="W578" s="24"/>
      <c r="X578" s="24"/>
      <c r="Y578" s="24"/>
      <c r="Z578" s="24"/>
      <c r="AA578" s="24"/>
      <c r="AB578" s="24"/>
      <c r="AC578" s="24"/>
      <c r="AD578" s="24"/>
      <c r="AE578" s="24"/>
      <c r="AF578" s="24"/>
      <c r="AG578" s="24"/>
      <c r="AH578" s="24"/>
      <c r="AI578" s="24"/>
      <c r="AJ578" s="25"/>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c r="BJ578" s="24"/>
    </row>
    <row r="579" spans="12:62" x14ac:dyDescent="0.35">
      <c r="L579" s="202"/>
      <c r="P579" s="202"/>
      <c r="W579" s="24"/>
      <c r="X579" s="24"/>
      <c r="Y579" s="24"/>
      <c r="Z579" s="24"/>
      <c r="AA579" s="24"/>
      <c r="AB579" s="24"/>
      <c r="AC579" s="24"/>
      <c r="AD579" s="24"/>
      <c r="AE579" s="24"/>
      <c r="AF579" s="24"/>
      <c r="AG579" s="24"/>
      <c r="AH579" s="24"/>
      <c r="AI579" s="24"/>
      <c r="AJ579" s="25"/>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c r="BJ579" s="24"/>
    </row>
    <row r="580" spans="12:62" x14ac:dyDescent="0.35">
      <c r="L580" s="202"/>
      <c r="P580" s="202"/>
      <c r="W580" s="24"/>
      <c r="X580" s="24"/>
      <c r="Y580" s="24"/>
      <c r="Z580" s="24"/>
      <c r="AA580" s="24"/>
      <c r="AB580" s="24"/>
      <c r="AC580" s="24"/>
      <c r="AD580" s="24"/>
      <c r="AE580" s="24"/>
      <c r="AF580" s="24"/>
      <c r="AG580" s="24"/>
      <c r="AH580" s="24"/>
      <c r="AI580" s="24"/>
      <c r="AJ580" s="25"/>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c r="BJ580" s="24"/>
    </row>
    <row r="581" spans="12:62" x14ac:dyDescent="0.35">
      <c r="L581" s="202"/>
      <c r="P581" s="202"/>
      <c r="W581" s="24"/>
      <c r="X581" s="24"/>
      <c r="Y581" s="24"/>
      <c r="Z581" s="24"/>
      <c r="AA581" s="24"/>
      <c r="AB581" s="24"/>
      <c r="AC581" s="24"/>
      <c r="AD581" s="24"/>
      <c r="AE581" s="24"/>
      <c r="AF581" s="24"/>
      <c r="AG581" s="24"/>
      <c r="AH581" s="24"/>
      <c r="AI581" s="24"/>
      <c r="AJ581" s="25"/>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c r="BJ581" s="24"/>
    </row>
    <row r="582" spans="12:62" x14ac:dyDescent="0.35">
      <c r="L582" s="202"/>
      <c r="P582" s="202"/>
      <c r="W582" s="24"/>
      <c r="X582" s="24"/>
      <c r="Y582" s="24"/>
      <c r="Z582" s="24"/>
      <c r="AA582" s="24"/>
      <c r="AB582" s="24"/>
      <c r="AC582" s="24"/>
      <c r="AD582" s="24"/>
      <c r="AE582" s="24"/>
      <c r="AF582" s="24"/>
      <c r="AG582" s="24"/>
      <c r="AH582" s="24"/>
      <c r="AI582" s="24"/>
      <c r="AJ582" s="25"/>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c r="BJ582" s="24"/>
    </row>
    <row r="583" spans="12:62" x14ac:dyDescent="0.35">
      <c r="L583" s="202"/>
      <c r="P583" s="202"/>
      <c r="W583" s="24"/>
      <c r="X583" s="24"/>
      <c r="Y583" s="24"/>
      <c r="Z583" s="24"/>
      <c r="AA583" s="24"/>
      <c r="AB583" s="24"/>
      <c r="AC583" s="24"/>
      <c r="AD583" s="24"/>
      <c r="AE583" s="24"/>
      <c r="AF583" s="24"/>
      <c r="AG583" s="24"/>
      <c r="AH583" s="24"/>
      <c r="AI583" s="24"/>
      <c r="AJ583" s="25"/>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c r="BJ583" s="24"/>
    </row>
    <row r="584" spans="12:62" x14ac:dyDescent="0.35">
      <c r="L584" s="202"/>
      <c r="P584" s="202"/>
      <c r="W584" s="24"/>
      <c r="X584" s="24"/>
      <c r="Y584" s="24"/>
      <c r="Z584" s="24"/>
      <c r="AA584" s="24"/>
      <c r="AB584" s="24"/>
      <c r="AC584" s="24"/>
      <c r="AD584" s="24"/>
      <c r="AE584" s="24"/>
      <c r="AF584" s="24"/>
      <c r="AG584" s="24"/>
      <c r="AH584" s="24"/>
      <c r="AI584" s="24"/>
      <c r="AJ584" s="25"/>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c r="BJ584" s="24"/>
    </row>
    <row r="585" spans="12:62" x14ac:dyDescent="0.35">
      <c r="L585" s="202"/>
      <c r="P585" s="202"/>
      <c r="W585" s="24"/>
      <c r="X585" s="24"/>
      <c r="Y585" s="24"/>
      <c r="Z585" s="24"/>
      <c r="AA585" s="24"/>
      <c r="AB585" s="24"/>
      <c r="AC585" s="24"/>
      <c r="AD585" s="24"/>
      <c r="AE585" s="24"/>
      <c r="AF585" s="24"/>
      <c r="AG585" s="24"/>
      <c r="AH585" s="24"/>
      <c r="AI585" s="24"/>
      <c r="AJ585" s="25"/>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c r="BJ585" s="24"/>
    </row>
    <row r="586" spans="12:62" x14ac:dyDescent="0.35">
      <c r="L586" s="202"/>
      <c r="P586" s="202"/>
      <c r="W586" s="24"/>
      <c r="X586" s="24"/>
      <c r="Y586" s="24"/>
      <c r="Z586" s="24"/>
      <c r="AA586" s="24"/>
      <c r="AB586" s="24"/>
      <c r="AC586" s="24"/>
      <c r="AD586" s="24"/>
      <c r="AE586" s="24"/>
      <c r="AF586" s="24"/>
      <c r="AG586" s="24"/>
      <c r="AH586" s="24"/>
      <c r="AI586" s="24"/>
      <c r="AJ586" s="25"/>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c r="BJ586" s="24"/>
    </row>
    <row r="587" spans="12:62" x14ac:dyDescent="0.35">
      <c r="L587" s="202"/>
      <c r="P587" s="202"/>
      <c r="W587" s="24"/>
      <c r="X587" s="24"/>
      <c r="Y587" s="24"/>
      <c r="Z587" s="24"/>
      <c r="AA587" s="24"/>
      <c r="AB587" s="24"/>
      <c r="AC587" s="24"/>
      <c r="AD587" s="24"/>
      <c r="AE587" s="24"/>
      <c r="AF587" s="24"/>
      <c r="AG587" s="24"/>
      <c r="AH587" s="24"/>
      <c r="AI587" s="24"/>
      <c r="AJ587" s="25"/>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c r="BJ587" s="24"/>
    </row>
    <row r="588" spans="12:62" x14ac:dyDescent="0.35">
      <c r="L588" s="202"/>
      <c r="P588" s="202"/>
      <c r="W588" s="24"/>
      <c r="X588" s="24"/>
      <c r="Y588" s="24"/>
      <c r="Z588" s="24"/>
      <c r="AA588" s="24"/>
      <c r="AB588" s="24"/>
      <c r="AC588" s="24"/>
      <c r="AD588" s="24"/>
      <c r="AE588" s="24"/>
      <c r="AF588" s="24"/>
      <c r="AG588" s="24"/>
      <c r="AH588" s="24"/>
      <c r="AI588" s="24"/>
      <c r="AJ588" s="25"/>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c r="BJ588" s="24"/>
    </row>
    <row r="589" spans="12:62" x14ac:dyDescent="0.35">
      <c r="L589" s="202"/>
      <c r="P589" s="202"/>
      <c r="W589" s="24"/>
      <c r="X589" s="24"/>
      <c r="Y589" s="24"/>
      <c r="Z589" s="24"/>
      <c r="AA589" s="24"/>
      <c r="AB589" s="24"/>
      <c r="AC589" s="24"/>
      <c r="AD589" s="24"/>
      <c r="AE589" s="24"/>
      <c r="AF589" s="24"/>
      <c r="AG589" s="24"/>
      <c r="AH589" s="24"/>
      <c r="AI589" s="24"/>
      <c r="AJ589" s="25"/>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row>
    <row r="590" spans="12:62" x14ac:dyDescent="0.35">
      <c r="L590" s="202"/>
      <c r="P590" s="202"/>
      <c r="W590" s="24"/>
      <c r="X590" s="24"/>
      <c r="Y590" s="24"/>
      <c r="Z590" s="24"/>
      <c r="AA590" s="24"/>
      <c r="AB590" s="24"/>
      <c r="AC590" s="24"/>
      <c r="AD590" s="24"/>
      <c r="AE590" s="24"/>
      <c r="AF590" s="24"/>
      <c r="AG590" s="24"/>
      <c r="AH590" s="24"/>
      <c r="AI590" s="24"/>
      <c r="AJ590" s="25"/>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c r="BJ590" s="24"/>
    </row>
    <row r="591" spans="12:62" x14ac:dyDescent="0.35">
      <c r="L591" s="202"/>
      <c r="P591" s="202"/>
      <c r="W591" s="24"/>
      <c r="X591" s="24"/>
      <c r="Y591" s="24"/>
      <c r="Z591" s="24"/>
      <c r="AA591" s="24"/>
      <c r="AB591" s="24"/>
      <c r="AC591" s="24"/>
      <c r="AD591" s="24"/>
      <c r="AE591" s="24"/>
      <c r="AF591" s="24"/>
      <c r="AG591" s="24"/>
      <c r="AH591" s="24"/>
      <c r="AI591" s="24"/>
      <c r="AJ591" s="25"/>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c r="BJ591" s="24"/>
    </row>
    <row r="592" spans="12:62" x14ac:dyDescent="0.35">
      <c r="L592" s="202"/>
      <c r="P592" s="202"/>
      <c r="W592" s="24"/>
      <c r="X592" s="24"/>
      <c r="Y592" s="24"/>
      <c r="Z592" s="24"/>
      <c r="AA592" s="24"/>
      <c r="AB592" s="24"/>
      <c r="AC592" s="24"/>
      <c r="AD592" s="24"/>
      <c r="AE592" s="24"/>
      <c r="AF592" s="24"/>
      <c r="AG592" s="24"/>
      <c r="AH592" s="24"/>
      <c r="AI592" s="24"/>
      <c r="AJ592" s="25"/>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c r="BJ592" s="24"/>
    </row>
    <row r="593" spans="12:62" x14ac:dyDescent="0.35">
      <c r="L593" s="202"/>
      <c r="P593" s="202"/>
      <c r="W593" s="24"/>
      <c r="X593" s="24"/>
      <c r="Y593" s="24"/>
      <c r="Z593" s="24"/>
      <c r="AA593" s="24"/>
      <c r="AB593" s="24"/>
      <c r="AC593" s="24"/>
      <c r="AD593" s="24"/>
      <c r="AE593" s="24"/>
      <c r="AF593" s="24"/>
      <c r="AG593" s="24"/>
      <c r="AH593" s="24"/>
      <c r="AI593" s="24"/>
      <c r="AJ593" s="25"/>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c r="BJ593" s="24"/>
    </row>
    <row r="594" spans="12:62" x14ac:dyDescent="0.35">
      <c r="L594" s="202"/>
      <c r="P594" s="202"/>
      <c r="W594" s="24"/>
      <c r="X594" s="24"/>
      <c r="Y594" s="24"/>
      <c r="Z594" s="24"/>
      <c r="AA594" s="24"/>
      <c r="AB594" s="24"/>
      <c r="AC594" s="24"/>
      <c r="AD594" s="24"/>
      <c r="AE594" s="24"/>
      <c r="AF594" s="24"/>
      <c r="AG594" s="24"/>
      <c r="AH594" s="24"/>
      <c r="AI594" s="24"/>
      <c r="AJ594" s="25"/>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c r="BH594" s="24"/>
      <c r="BI594" s="24"/>
      <c r="BJ594" s="24"/>
    </row>
    <row r="595" spans="12:62" x14ac:dyDescent="0.35">
      <c r="L595" s="202"/>
      <c r="P595" s="202"/>
      <c r="W595" s="24"/>
      <c r="X595" s="24"/>
      <c r="Y595" s="24"/>
      <c r="Z595" s="24"/>
      <c r="AA595" s="24"/>
      <c r="AB595" s="24"/>
      <c r="AC595" s="24"/>
      <c r="AD595" s="24"/>
      <c r="AE595" s="24"/>
      <c r="AF595" s="24"/>
      <c r="AG595" s="24"/>
      <c r="AH595" s="24"/>
      <c r="AI595" s="24"/>
      <c r="AJ595" s="25"/>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c r="BJ595" s="24"/>
    </row>
    <row r="596" spans="12:62" x14ac:dyDescent="0.35">
      <c r="L596" s="202"/>
      <c r="P596" s="202"/>
      <c r="W596" s="24"/>
      <c r="X596" s="24"/>
      <c r="Y596" s="24"/>
      <c r="Z596" s="24"/>
      <c r="AA596" s="24"/>
      <c r="AB596" s="24"/>
      <c r="AC596" s="24"/>
      <c r="AD596" s="24"/>
      <c r="AE596" s="24"/>
      <c r="AF596" s="24"/>
      <c r="AG596" s="24"/>
      <c r="AH596" s="24"/>
      <c r="AI596" s="24"/>
      <c r="AJ596" s="25"/>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c r="BJ596" s="24"/>
    </row>
    <row r="597" spans="12:62" x14ac:dyDescent="0.35">
      <c r="L597" s="202"/>
      <c r="P597" s="202"/>
      <c r="W597" s="24"/>
      <c r="X597" s="24"/>
      <c r="Y597" s="24"/>
      <c r="Z597" s="24"/>
      <c r="AA597" s="24"/>
      <c r="AB597" s="24"/>
      <c r="AC597" s="24"/>
      <c r="AD597" s="24"/>
      <c r="AE597" s="24"/>
      <c r="AF597" s="24"/>
      <c r="AG597" s="24"/>
      <c r="AH597" s="24"/>
      <c r="AI597" s="24"/>
      <c r="AJ597" s="25"/>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c r="BJ597" s="24"/>
    </row>
    <row r="598" spans="12:62" x14ac:dyDescent="0.35">
      <c r="L598" s="202"/>
      <c r="P598" s="202"/>
      <c r="W598" s="24"/>
      <c r="X598" s="24"/>
      <c r="Y598" s="24"/>
      <c r="Z598" s="24"/>
      <c r="AA598" s="24"/>
      <c r="AB598" s="24"/>
      <c r="AC598" s="24"/>
      <c r="AD598" s="24"/>
      <c r="AE598" s="24"/>
      <c r="AF598" s="24"/>
      <c r="AG598" s="24"/>
      <c r="AH598" s="24"/>
      <c r="AI598" s="24"/>
      <c r="AJ598" s="25"/>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c r="BJ598" s="24"/>
    </row>
    <row r="599" spans="12:62" x14ac:dyDescent="0.35">
      <c r="L599" s="202"/>
      <c r="P599" s="202"/>
      <c r="W599" s="24"/>
      <c r="X599" s="24"/>
      <c r="Y599" s="24"/>
      <c r="Z599" s="24"/>
      <c r="AA599" s="24"/>
      <c r="AB599" s="24"/>
      <c r="AC599" s="24"/>
      <c r="AD599" s="24"/>
      <c r="AE599" s="24"/>
      <c r="AF599" s="24"/>
      <c r="AG599" s="24"/>
      <c r="AH599" s="24"/>
      <c r="AI599" s="24"/>
      <c r="AJ599" s="25"/>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c r="BJ599" s="24"/>
    </row>
    <row r="600" spans="12:62" x14ac:dyDescent="0.35">
      <c r="L600" s="202"/>
      <c r="P600" s="202"/>
      <c r="W600" s="24"/>
      <c r="X600" s="24"/>
      <c r="Y600" s="24"/>
      <c r="Z600" s="24"/>
      <c r="AA600" s="24"/>
      <c r="AB600" s="24"/>
      <c r="AC600" s="24"/>
      <c r="AD600" s="24"/>
      <c r="AE600" s="24"/>
      <c r="AF600" s="24"/>
      <c r="AG600" s="24"/>
      <c r="AH600" s="24"/>
      <c r="AI600" s="24"/>
      <c r="AJ600" s="25"/>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c r="BH600" s="24"/>
      <c r="BI600" s="24"/>
      <c r="BJ600" s="24"/>
    </row>
    <row r="601" spans="12:62" x14ac:dyDescent="0.35">
      <c r="L601" s="202"/>
      <c r="P601" s="202"/>
      <c r="W601" s="24"/>
      <c r="X601" s="24"/>
      <c r="Y601" s="24"/>
      <c r="Z601" s="24"/>
      <c r="AA601" s="24"/>
      <c r="AB601" s="24"/>
      <c r="AC601" s="24"/>
      <c r="AD601" s="24"/>
      <c r="AE601" s="24"/>
      <c r="AF601" s="24"/>
      <c r="AG601" s="24"/>
      <c r="AH601" s="24"/>
      <c r="AI601" s="24"/>
      <c r="AJ601" s="25"/>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c r="BJ601" s="24"/>
    </row>
    <row r="602" spans="12:62" x14ac:dyDescent="0.35">
      <c r="L602" s="202"/>
      <c r="P602" s="202"/>
      <c r="W602" s="24"/>
      <c r="X602" s="24"/>
      <c r="Y602" s="24"/>
      <c r="Z602" s="24"/>
      <c r="AA602" s="24"/>
      <c r="AB602" s="24"/>
      <c r="AC602" s="24"/>
      <c r="AD602" s="24"/>
      <c r="AE602" s="24"/>
      <c r="AF602" s="24"/>
      <c r="AG602" s="24"/>
      <c r="AH602" s="24"/>
      <c r="AI602" s="24"/>
      <c r="AJ602" s="25"/>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c r="BH602" s="24"/>
      <c r="BI602" s="24"/>
      <c r="BJ602" s="24"/>
    </row>
    <row r="603" spans="12:62" x14ac:dyDescent="0.35">
      <c r="L603" s="202"/>
      <c r="P603" s="202"/>
      <c r="W603" s="24"/>
      <c r="X603" s="24"/>
      <c r="Y603" s="24"/>
      <c r="Z603" s="24"/>
      <c r="AA603" s="24"/>
      <c r="AB603" s="24"/>
      <c r="AC603" s="24"/>
      <c r="AD603" s="24"/>
      <c r="AE603" s="24"/>
      <c r="AF603" s="24"/>
      <c r="AG603" s="24"/>
      <c r="AH603" s="24"/>
      <c r="AI603" s="24"/>
      <c r="AJ603" s="25"/>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c r="BJ603" s="24"/>
    </row>
    <row r="604" spans="12:62" x14ac:dyDescent="0.35">
      <c r="L604" s="202"/>
      <c r="P604" s="202"/>
      <c r="W604" s="24"/>
      <c r="X604" s="24"/>
      <c r="Y604" s="24"/>
      <c r="Z604" s="24"/>
      <c r="AA604" s="24"/>
      <c r="AB604" s="24"/>
      <c r="AC604" s="24"/>
      <c r="AD604" s="24"/>
      <c r="AE604" s="24"/>
      <c r="AF604" s="24"/>
      <c r="AG604" s="24"/>
      <c r="AH604" s="24"/>
      <c r="AI604" s="24"/>
      <c r="AJ604" s="25"/>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c r="BH604" s="24"/>
      <c r="BI604" s="24"/>
      <c r="BJ604" s="24"/>
    </row>
    <row r="605" spans="12:62" x14ac:dyDescent="0.35">
      <c r="L605" s="202"/>
      <c r="P605" s="202"/>
      <c r="W605" s="24"/>
      <c r="X605" s="24"/>
      <c r="Y605" s="24"/>
      <c r="Z605" s="24"/>
      <c r="AA605" s="24"/>
      <c r="AB605" s="24"/>
      <c r="AC605" s="24"/>
      <c r="AD605" s="24"/>
      <c r="AE605" s="24"/>
      <c r="AF605" s="24"/>
      <c r="AG605" s="24"/>
      <c r="AH605" s="24"/>
      <c r="AI605" s="24"/>
      <c r="AJ605" s="25"/>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c r="BJ605" s="24"/>
    </row>
    <row r="606" spans="12:62" x14ac:dyDescent="0.35">
      <c r="L606" s="202"/>
      <c r="P606" s="202"/>
      <c r="W606" s="24"/>
      <c r="X606" s="24"/>
      <c r="Y606" s="24"/>
      <c r="Z606" s="24"/>
      <c r="AA606" s="24"/>
      <c r="AB606" s="24"/>
      <c r="AC606" s="24"/>
      <c r="AD606" s="24"/>
      <c r="AE606" s="24"/>
      <c r="AF606" s="24"/>
      <c r="AG606" s="24"/>
      <c r="AH606" s="24"/>
      <c r="AI606" s="24"/>
      <c r="AJ606" s="25"/>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c r="BJ606" s="24"/>
    </row>
    <row r="607" spans="12:62" x14ac:dyDescent="0.35">
      <c r="L607" s="202"/>
      <c r="P607" s="202"/>
      <c r="W607" s="24"/>
      <c r="X607" s="24"/>
      <c r="Y607" s="24"/>
      <c r="Z607" s="24"/>
      <c r="AA607" s="24"/>
      <c r="AB607" s="24"/>
      <c r="AC607" s="24"/>
      <c r="AD607" s="24"/>
      <c r="AE607" s="24"/>
      <c r="AF607" s="24"/>
      <c r="AG607" s="24"/>
      <c r="AH607" s="24"/>
      <c r="AI607" s="24"/>
      <c r="AJ607" s="25"/>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c r="BJ607" s="24"/>
    </row>
    <row r="608" spans="12:62" x14ac:dyDescent="0.35">
      <c r="L608" s="202"/>
      <c r="P608" s="202"/>
      <c r="W608" s="24"/>
      <c r="X608" s="24"/>
      <c r="Y608" s="24"/>
      <c r="Z608" s="24"/>
      <c r="AA608" s="24"/>
      <c r="AB608" s="24"/>
      <c r="AC608" s="24"/>
      <c r="AD608" s="24"/>
      <c r="AE608" s="24"/>
      <c r="AF608" s="24"/>
      <c r="AG608" s="24"/>
      <c r="AH608" s="24"/>
      <c r="AI608" s="24"/>
      <c r="AJ608" s="25"/>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c r="BH608" s="24"/>
      <c r="BI608" s="24"/>
      <c r="BJ608" s="24"/>
    </row>
    <row r="609" spans="12:62" x14ac:dyDescent="0.35">
      <c r="L609" s="202"/>
      <c r="P609" s="202"/>
      <c r="W609" s="24"/>
      <c r="X609" s="24"/>
      <c r="Y609" s="24"/>
      <c r="Z609" s="24"/>
      <c r="AA609" s="24"/>
      <c r="AB609" s="24"/>
      <c r="AC609" s="24"/>
      <c r="AD609" s="24"/>
      <c r="AE609" s="24"/>
      <c r="AF609" s="24"/>
      <c r="AG609" s="24"/>
      <c r="AH609" s="24"/>
      <c r="AI609" s="24"/>
      <c r="AJ609" s="25"/>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c r="BJ609" s="24"/>
    </row>
    <row r="610" spans="12:62" x14ac:dyDescent="0.35">
      <c r="L610" s="202"/>
      <c r="P610" s="202"/>
      <c r="W610" s="24"/>
      <c r="X610" s="24"/>
      <c r="Y610" s="24"/>
      <c r="Z610" s="24"/>
      <c r="AA610" s="24"/>
      <c r="AB610" s="24"/>
      <c r="AC610" s="24"/>
      <c r="AD610" s="24"/>
      <c r="AE610" s="24"/>
      <c r="AF610" s="24"/>
      <c r="AG610" s="24"/>
      <c r="AH610" s="24"/>
      <c r="AI610" s="24"/>
      <c r="AJ610" s="25"/>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c r="BH610" s="24"/>
      <c r="BI610" s="24"/>
      <c r="BJ610" s="24"/>
    </row>
    <row r="611" spans="12:62" x14ac:dyDescent="0.35">
      <c r="L611" s="202"/>
      <c r="P611" s="202"/>
      <c r="W611" s="24"/>
      <c r="X611" s="24"/>
      <c r="Y611" s="24"/>
      <c r="Z611" s="24"/>
      <c r="AA611" s="24"/>
      <c r="AB611" s="24"/>
      <c r="AC611" s="24"/>
      <c r="AD611" s="24"/>
      <c r="AE611" s="24"/>
      <c r="AF611" s="24"/>
      <c r="AG611" s="24"/>
      <c r="AH611" s="24"/>
      <c r="AI611" s="24"/>
      <c r="AJ611" s="25"/>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c r="BJ611" s="24"/>
    </row>
    <row r="612" spans="12:62" x14ac:dyDescent="0.35">
      <c r="L612" s="202"/>
      <c r="P612" s="202"/>
      <c r="W612" s="24"/>
      <c r="X612" s="24"/>
      <c r="Y612" s="24"/>
      <c r="Z612" s="24"/>
      <c r="AA612" s="24"/>
      <c r="AB612" s="24"/>
      <c r="AC612" s="24"/>
      <c r="AD612" s="24"/>
      <c r="AE612" s="24"/>
      <c r="AF612" s="24"/>
      <c r="AG612" s="24"/>
      <c r="AH612" s="24"/>
      <c r="AI612" s="24"/>
      <c r="AJ612" s="25"/>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c r="BH612" s="24"/>
      <c r="BI612" s="24"/>
      <c r="BJ612" s="24"/>
    </row>
    <row r="613" spans="12:62" x14ac:dyDescent="0.35">
      <c r="L613" s="202"/>
      <c r="P613" s="202"/>
      <c r="W613" s="24"/>
      <c r="X613" s="24"/>
      <c r="Y613" s="24"/>
      <c r="Z613" s="24"/>
      <c r="AA613" s="24"/>
      <c r="AB613" s="24"/>
      <c r="AC613" s="24"/>
      <c r="AD613" s="24"/>
      <c r="AE613" s="24"/>
      <c r="AF613" s="24"/>
      <c r="AG613" s="24"/>
      <c r="AH613" s="24"/>
      <c r="AI613" s="24"/>
      <c r="AJ613" s="25"/>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c r="BJ613" s="24"/>
    </row>
    <row r="614" spans="12:62" x14ac:dyDescent="0.35">
      <c r="L614" s="202"/>
      <c r="P614" s="202"/>
      <c r="W614" s="24"/>
      <c r="X614" s="24"/>
      <c r="Y614" s="24"/>
      <c r="Z614" s="24"/>
      <c r="AA614" s="24"/>
      <c r="AB614" s="24"/>
      <c r="AC614" s="24"/>
      <c r="AD614" s="24"/>
      <c r="AE614" s="24"/>
      <c r="AF614" s="24"/>
      <c r="AG614" s="24"/>
      <c r="AH614" s="24"/>
      <c r="AI614" s="24"/>
      <c r="AJ614" s="25"/>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row>
    <row r="615" spans="12:62" x14ac:dyDescent="0.35">
      <c r="L615" s="202"/>
      <c r="P615" s="202"/>
      <c r="W615" s="24"/>
      <c r="X615" s="24"/>
      <c r="Y615" s="24"/>
      <c r="Z615" s="24"/>
      <c r="AA615" s="24"/>
      <c r="AB615" s="24"/>
      <c r="AC615" s="24"/>
      <c r="AD615" s="24"/>
      <c r="AE615" s="24"/>
      <c r="AF615" s="24"/>
      <c r="AG615" s="24"/>
      <c r="AH615" s="24"/>
      <c r="AI615" s="24"/>
      <c r="AJ615" s="25"/>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c r="BJ615" s="24"/>
    </row>
    <row r="616" spans="12:62" x14ac:dyDescent="0.35">
      <c r="L616" s="202"/>
      <c r="P616" s="202"/>
      <c r="W616" s="24"/>
      <c r="X616" s="24"/>
      <c r="Y616" s="24"/>
      <c r="Z616" s="24"/>
      <c r="AA616" s="24"/>
      <c r="AB616" s="24"/>
      <c r="AC616" s="24"/>
      <c r="AD616" s="24"/>
      <c r="AE616" s="24"/>
      <c r="AF616" s="24"/>
      <c r="AG616" s="24"/>
      <c r="AH616" s="24"/>
      <c r="AI616" s="24"/>
      <c r="AJ616" s="25"/>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c r="BJ616" s="24"/>
    </row>
    <row r="617" spans="12:62" x14ac:dyDescent="0.35">
      <c r="L617" s="202"/>
      <c r="P617" s="202"/>
      <c r="W617" s="24"/>
      <c r="X617" s="24"/>
      <c r="Y617" s="24"/>
      <c r="Z617" s="24"/>
      <c r="AA617" s="24"/>
      <c r="AB617" s="24"/>
      <c r="AC617" s="24"/>
      <c r="AD617" s="24"/>
      <c r="AE617" s="24"/>
      <c r="AF617" s="24"/>
      <c r="AG617" s="24"/>
      <c r="AH617" s="24"/>
      <c r="AI617" s="24"/>
      <c r="AJ617" s="25"/>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c r="BJ617" s="24"/>
    </row>
    <row r="618" spans="12:62" x14ac:dyDescent="0.35">
      <c r="L618" s="202"/>
      <c r="P618" s="202"/>
      <c r="W618" s="24"/>
      <c r="X618" s="24"/>
      <c r="Y618" s="24"/>
      <c r="Z618" s="24"/>
      <c r="AA618" s="24"/>
      <c r="AB618" s="24"/>
      <c r="AC618" s="24"/>
      <c r="AD618" s="24"/>
      <c r="AE618" s="24"/>
      <c r="AF618" s="24"/>
      <c r="AG618" s="24"/>
      <c r="AH618" s="24"/>
      <c r="AI618" s="24"/>
      <c r="AJ618" s="25"/>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c r="BH618" s="24"/>
      <c r="BI618" s="24"/>
      <c r="BJ618" s="24"/>
    </row>
    <row r="619" spans="12:62" x14ac:dyDescent="0.35">
      <c r="L619" s="202"/>
      <c r="P619" s="202"/>
      <c r="W619" s="24"/>
      <c r="X619" s="24"/>
      <c r="Y619" s="24"/>
      <c r="Z619" s="24"/>
      <c r="AA619" s="24"/>
      <c r="AB619" s="24"/>
      <c r="AC619" s="24"/>
      <c r="AD619" s="24"/>
      <c r="AE619" s="24"/>
      <c r="AF619" s="24"/>
      <c r="AG619" s="24"/>
      <c r="AH619" s="24"/>
      <c r="AI619" s="24"/>
      <c r="AJ619" s="25"/>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c r="BJ619" s="24"/>
    </row>
    <row r="620" spans="12:62" x14ac:dyDescent="0.35">
      <c r="L620" s="202"/>
      <c r="P620" s="202"/>
      <c r="W620" s="24"/>
      <c r="X620" s="24"/>
      <c r="Y620" s="24"/>
      <c r="Z620" s="24"/>
      <c r="AA620" s="24"/>
      <c r="AB620" s="24"/>
      <c r="AC620" s="24"/>
      <c r="AD620" s="24"/>
      <c r="AE620" s="24"/>
      <c r="AF620" s="24"/>
      <c r="AG620" s="24"/>
      <c r="AH620" s="24"/>
      <c r="AI620" s="24"/>
      <c r="AJ620" s="25"/>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c r="BH620" s="24"/>
      <c r="BI620" s="24"/>
      <c r="BJ620" s="24"/>
    </row>
    <row r="621" spans="12:62" x14ac:dyDescent="0.35">
      <c r="L621" s="202"/>
      <c r="P621" s="202"/>
      <c r="W621" s="24"/>
      <c r="X621" s="24"/>
      <c r="Y621" s="24"/>
      <c r="Z621" s="24"/>
      <c r="AA621" s="24"/>
      <c r="AB621" s="24"/>
      <c r="AC621" s="24"/>
      <c r="AD621" s="24"/>
      <c r="AE621" s="24"/>
      <c r="AF621" s="24"/>
      <c r="AG621" s="24"/>
      <c r="AH621" s="24"/>
      <c r="AI621" s="24"/>
      <c r="AJ621" s="25"/>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c r="BJ621" s="24"/>
    </row>
    <row r="622" spans="12:62" x14ac:dyDescent="0.35">
      <c r="L622" s="202"/>
      <c r="P622" s="202"/>
      <c r="W622" s="24"/>
      <c r="X622" s="24"/>
      <c r="Y622" s="24"/>
      <c r="Z622" s="24"/>
      <c r="AA622" s="24"/>
      <c r="AB622" s="24"/>
      <c r="AC622" s="24"/>
      <c r="AD622" s="24"/>
      <c r="AE622" s="24"/>
      <c r="AF622" s="24"/>
      <c r="AG622" s="24"/>
      <c r="AH622" s="24"/>
      <c r="AI622" s="24"/>
      <c r="AJ622" s="25"/>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c r="BJ622" s="24"/>
    </row>
    <row r="623" spans="12:62" x14ac:dyDescent="0.35">
      <c r="L623" s="202"/>
      <c r="P623" s="202"/>
      <c r="W623" s="24"/>
      <c r="X623" s="24"/>
      <c r="Y623" s="24"/>
      <c r="Z623" s="24"/>
      <c r="AA623" s="24"/>
      <c r="AB623" s="24"/>
      <c r="AC623" s="24"/>
      <c r="AD623" s="24"/>
      <c r="AE623" s="24"/>
      <c r="AF623" s="24"/>
      <c r="AG623" s="24"/>
      <c r="AH623" s="24"/>
      <c r="AI623" s="24"/>
      <c r="AJ623" s="25"/>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c r="BJ623" s="24"/>
    </row>
    <row r="624" spans="12:62" x14ac:dyDescent="0.35">
      <c r="L624" s="202"/>
      <c r="P624" s="202"/>
      <c r="W624" s="24"/>
      <c r="X624" s="24"/>
      <c r="Y624" s="24"/>
      <c r="Z624" s="24"/>
      <c r="AA624" s="24"/>
      <c r="AB624" s="24"/>
      <c r="AC624" s="24"/>
      <c r="AD624" s="24"/>
      <c r="AE624" s="24"/>
      <c r="AF624" s="24"/>
      <c r="AG624" s="24"/>
      <c r="AH624" s="24"/>
      <c r="AI624" s="24"/>
      <c r="AJ624" s="25"/>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c r="BH624" s="24"/>
      <c r="BI624" s="24"/>
      <c r="BJ624" s="24"/>
    </row>
    <row r="625" spans="12:62" x14ac:dyDescent="0.35">
      <c r="L625" s="202"/>
      <c r="P625" s="202"/>
      <c r="W625" s="24"/>
      <c r="X625" s="24"/>
      <c r="Y625" s="24"/>
      <c r="Z625" s="24"/>
      <c r="AA625" s="24"/>
      <c r="AB625" s="24"/>
      <c r="AC625" s="24"/>
      <c r="AD625" s="24"/>
      <c r="AE625" s="24"/>
      <c r="AF625" s="24"/>
      <c r="AG625" s="24"/>
      <c r="AH625" s="24"/>
      <c r="AI625" s="24"/>
      <c r="AJ625" s="25"/>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c r="BJ625" s="24"/>
    </row>
    <row r="626" spans="12:62" x14ac:dyDescent="0.35">
      <c r="L626" s="202"/>
      <c r="P626" s="202"/>
      <c r="W626" s="24"/>
      <c r="X626" s="24"/>
      <c r="Y626" s="24"/>
      <c r="Z626" s="24"/>
      <c r="AA626" s="24"/>
      <c r="AB626" s="24"/>
      <c r="AC626" s="24"/>
      <c r="AD626" s="24"/>
      <c r="AE626" s="24"/>
      <c r="AF626" s="24"/>
      <c r="AG626" s="24"/>
      <c r="AH626" s="24"/>
      <c r="AI626" s="24"/>
      <c r="AJ626" s="25"/>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c r="BJ626" s="24"/>
    </row>
    <row r="627" spans="12:62" x14ac:dyDescent="0.35">
      <c r="L627" s="202"/>
      <c r="P627" s="202"/>
      <c r="W627" s="24"/>
      <c r="X627" s="24"/>
      <c r="Y627" s="24"/>
      <c r="Z627" s="24"/>
      <c r="AA627" s="24"/>
      <c r="AB627" s="24"/>
      <c r="AC627" s="24"/>
      <c r="AD627" s="24"/>
      <c r="AE627" s="24"/>
      <c r="AF627" s="24"/>
      <c r="AG627" s="24"/>
      <c r="AH627" s="24"/>
      <c r="AI627" s="24"/>
      <c r="AJ627" s="25"/>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c r="BJ627" s="24"/>
    </row>
    <row r="628" spans="12:62" x14ac:dyDescent="0.35">
      <c r="L628" s="202"/>
      <c r="P628" s="202"/>
      <c r="W628" s="24"/>
      <c r="X628" s="24"/>
      <c r="Y628" s="24"/>
      <c r="Z628" s="24"/>
      <c r="AA628" s="24"/>
      <c r="AB628" s="24"/>
      <c r="AC628" s="24"/>
      <c r="AD628" s="24"/>
      <c r="AE628" s="24"/>
      <c r="AF628" s="24"/>
      <c r="AG628" s="24"/>
      <c r="AH628" s="24"/>
      <c r="AI628" s="24"/>
      <c r="AJ628" s="25"/>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c r="BH628" s="24"/>
      <c r="BI628" s="24"/>
      <c r="BJ628" s="24"/>
    </row>
    <row r="629" spans="12:62" x14ac:dyDescent="0.35">
      <c r="L629" s="202"/>
      <c r="P629" s="202"/>
      <c r="W629" s="24"/>
      <c r="X629" s="24"/>
      <c r="Y629" s="24"/>
      <c r="Z629" s="24"/>
      <c r="AA629" s="24"/>
      <c r="AB629" s="24"/>
      <c r="AC629" s="24"/>
      <c r="AD629" s="24"/>
      <c r="AE629" s="24"/>
      <c r="AF629" s="24"/>
      <c r="AG629" s="24"/>
      <c r="AH629" s="24"/>
      <c r="AI629" s="24"/>
      <c r="AJ629" s="25"/>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c r="BJ629" s="24"/>
    </row>
    <row r="630" spans="12:62" x14ac:dyDescent="0.35">
      <c r="L630" s="202"/>
      <c r="P630" s="202"/>
      <c r="W630" s="24"/>
      <c r="X630" s="24"/>
      <c r="Y630" s="24"/>
      <c r="Z630" s="24"/>
      <c r="AA630" s="24"/>
      <c r="AB630" s="24"/>
      <c r="AC630" s="24"/>
      <c r="AD630" s="24"/>
      <c r="AE630" s="24"/>
      <c r="AF630" s="24"/>
      <c r="AG630" s="24"/>
      <c r="AH630" s="24"/>
      <c r="AI630" s="24"/>
      <c r="AJ630" s="25"/>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c r="BJ630" s="24"/>
    </row>
    <row r="631" spans="12:62" x14ac:dyDescent="0.35">
      <c r="L631" s="202"/>
      <c r="P631" s="202"/>
      <c r="W631" s="24"/>
      <c r="X631" s="24"/>
      <c r="Y631" s="24"/>
      <c r="Z631" s="24"/>
      <c r="AA631" s="24"/>
      <c r="AB631" s="24"/>
      <c r="AC631" s="24"/>
      <c r="AD631" s="24"/>
      <c r="AE631" s="24"/>
      <c r="AF631" s="24"/>
      <c r="AG631" s="24"/>
      <c r="AH631" s="24"/>
      <c r="AI631" s="24"/>
      <c r="AJ631" s="25"/>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c r="BJ631" s="24"/>
    </row>
    <row r="632" spans="12:62" x14ac:dyDescent="0.35">
      <c r="L632" s="202"/>
      <c r="P632" s="202"/>
      <c r="W632" s="24"/>
      <c r="X632" s="24"/>
      <c r="Y632" s="24"/>
      <c r="Z632" s="24"/>
      <c r="AA632" s="24"/>
      <c r="AB632" s="24"/>
      <c r="AC632" s="24"/>
      <c r="AD632" s="24"/>
      <c r="AE632" s="24"/>
      <c r="AF632" s="24"/>
      <c r="AG632" s="24"/>
      <c r="AH632" s="24"/>
      <c r="AI632" s="24"/>
      <c r="AJ632" s="25"/>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c r="BH632" s="24"/>
      <c r="BI632" s="24"/>
      <c r="BJ632" s="24"/>
    </row>
    <row r="633" spans="12:62" x14ac:dyDescent="0.35">
      <c r="L633" s="202"/>
      <c r="P633" s="202"/>
      <c r="W633" s="24"/>
      <c r="X633" s="24"/>
      <c r="Y633" s="24"/>
      <c r="Z633" s="24"/>
      <c r="AA633" s="24"/>
      <c r="AB633" s="24"/>
      <c r="AC633" s="24"/>
      <c r="AD633" s="24"/>
      <c r="AE633" s="24"/>
      <c r="AF633" s="24"/>
      <c r="AG633" s="24"/>
      <c r="AH633" s="24"/>
      <c r="AI633" s="24"/>
      <c r="AJ633" s="25"/>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c r="BJ633" s="24"/>
    </row>
    <row r="634" spans="12:62" x14ac:dyDescent="0.35">
      <c r="L634" s="202"/>
      <c r="P634" s="202"/>
      <c r="W634" s="24"/>
      <c r="X634" s="24"/>
      <c r="Y634" s="24"/>
      <c r="Z634" s="24"/>
      <c r="AA634" s="24"/>
      <c r="AB634" s="24"/>
      <c r="AC634" s="24"/>
      <c r="AD634" s="24"/>
      <c r="AE634" s="24"/>
      <c r="AF634" s="24"/>
      <c r="AG634" s="24"/>
      <c r="AH634" s="24"/>
      <c r="AI634" s="24"/>
      <c r="AJ634" s="25"/>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c r="BH634" s="24"/>
      <c r="BI634" s="24"/>
      <c r="BJ634" s="24"/>
    </row>
    <row r="635" spans="12:62" x14ac:dyDescent="0.35">
      <c r="L635" s="202"/>
      <c r="P635" s="202"/>
      <c r="W635" s="24"/>
      <c r="X635" s="24"/>
      <c r="Y635" s="24"/>
      <c r="Z635" s="24"/>
      <c r="AA635" s="24"/>
      <c r="AB635" s="24"/>
      <c r="AC635" s="24"/>
      <c r="AD635" s="24"/>
      <c r="AE635" s="24"/>
      <c r="AF635" s="24"/>
      <c r="AG635" s="24"/>
      <c r="AH635" s="24"/>
      <c r="AI635" s="24"/>
      <c r="AJ635" s="25"/>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c r="BJ635" s="24"/>
    </row>
    <row r="636" spans="12:62" x14ac:dyDescent="0.35">
      <c r="L636" s="202"/>
      <c r="P636" s="202"/>
      <c r="W636" s="24"/>
      <c r="X636" s="24"/>
      <c r="Y636" s="24"/>
      <c r="Z636" s="24"/>
      <c r="AA636" s="24"/>
      <c r="AB636" s="24"/>
      <c r="AC636" s="24"/>
      <c r="AD636" s="24"/>
      <c r="AE636" s="24"/>
      <c r="AF636" s="24"/>
      <c r="AG636" s="24"/>
      <c r="AH636" s="24"/>
      <c r="AI636" s="24"/>
      <c r="AJ636" s="25"/>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c r="BJ636" s="24"/>
    </row>
    <row r="637" spans="12:62" x14ac:dyDescent="0.35">
      <c r="L637" s="202"/>
      <c r="P637" s="202"/>
      <c r="W637" s="24"/>
      <c r="X637" s="24"/>
      <c r="Y637" s="24"/>
      <c r="Z637" s="24"/>
      <c r="AA637" s="24"/>
      <c r="AB637" s="24"/>
      <c r="AC637" s="24"/>
      <c r="AD637" s="24"/>
      <c r="AE637" s="24"/>
      <c r="AF637" s="24"/>
      <c r="AG637" s="24"/>
      <c r="AH637" s="24"/>
      <c r="AI637" s="24"/>
      <c r="AJ637" s="25"/>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c r="BJ637" s="24"/>
    </row>
    <row r="638" spans="12:62" x14ac:dyDescent="0.35">
      <c r="L638" s="202"/>
      <c r="P638" s="202"/>
      <c r="W638" s="24"/>
      <c r="X638" s="24"/>
      <c r="Y638" s="24"/>
      <c r="Z638" s="24"/>
      <c r="AA638" s="24"/>
      <c r="AB638" s="24"/>
      <c r="AC638" s="24"/>
      <c r="AD638" s="24"/>
      <c r="AE638" s="24"/>
      <c r="AF638" s="24"/>
      <c r="AG638" s="24"/>
      <c r="AH638" s="24"/>
      <c r="AI638" s="24"/>
      <c r="AJ638" s="25"/>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c r="BJ638" s="24"/>
    </row>
    <row r="639" spans="12:62" x14ac:dyDescent="0.35">
      <c r="L639" s="202"/>
      <c r="P639" s="202"/>
      <c r="W639" s="24"/>
      <c r="X639" s="24"/>
      <c r="Y639" s="24"/>
      <c r="Z639" s="24"/>
      <c r="AA639" s="24"/>
      <c r="AB639" s="24"/>
      <c r="AC639" s="24"/>
      <c r="AD639" s="24"/>
      <c r="AE639" s="24"/>
      <c r="AF639" s="24"/>
      <c r="AG639" s="24"/>
      <c r="AH639" s="24"/>
      <c r="AI639" s="24"/>
      <c r="AJ639" s="25"/>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row>
    <row r="640" spans="12:62" x14ac:dyDescent="0.35">
      <c r="L640" s="202"/>
      <c r="P640" s="202"/>
      <c r="W640" s="24"/>
      <c r="X640" s="24"/>
      <c r="Y640" s="24"/>
      <c r="Z640" s="24"/>
      <c r="AA640" s="24"/>
      <c r="AB640" s="24"/>
      <c r="AC640" s="24"/>
      <c r="AD640" s="24"/>
      <c r="AE640" s="24"/>
      <c r="AF640" s="24"/>
      <c r="AG640" s="24"/>
      <c r="AH640" s="24"/>
      <c r="AI640" s="24"/>
      <c r="AJ640" s="25"/>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c r="BH640" s="24"/>
      <c r="BI640" s="24"/>
      <c r="BJ640" s="24"/>
    </row>
    <row r="641" spans="12:62" x14ac:dyDescent="0.35">
      <c r="L641" s="202"/>
      <c r="P641" s="202"/>
      <c r="W641" s="24"/>
      <c r="X641" s="24"/>
      <c r="Y641" s="24"/>
      <c r="Z641" s="24"/>
      <c r="AA641" s="24"/>
      <c r="AB641" s="24"/>
      <c r="AC641" s="24"/>
      <c r="AD641" s="24"/>
      <c r="AE641" s="24"/>
      <c r="AF641" s="24"/>
      <c r="AG641" s="24"/>
      <c r="AH641" s="24"/>
      <c r="AI641" s="24"/>
      <c r="AJ641" s="25"/>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c r="BJ641" s="24"/>
    </row>
    <row r="642" spans="12:62" x14ac:dyDescent="0.35">
      <c r="L642" s="202"/>
      <c r="P642" s="202"/>
      <c r="W642" s="24"/>
      <c r="X642" s="24"/>
      <c r="Y642" s="24"/>
      <c r="Z642" s="24"/>
      <c r="AA642" s="24"/>
      <c r="AB642" s="24"/>
      <c r="AC642" s="24"/>
      <c r="AD642" s="24"/>
      <c r="AE642" s="24"/>
      <c r="AF642" s="24"/>
      <c r="AG642" s="24"/>
      <c r="AH642" s="24"/>
      <c r="AI642" s="24"/>
      <c r="AJ642" s="25"/>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c r="BH642" s="24"/>
      <c r="BI642" s="24"/>
      <c r="BJ642" s="24"/>
    </row>
    <row r="643" spans="12:62" x14ac:dyDescent="0.35">
      <c r="L643" s="202"/>
      <c r="P643" s="202"/>
      <c r="W643" s="24"/>
      <c r="X643" s="24"/>
      <c r="Y643" s="24"/>
      <c r="Z643" s="24"/>
      <c r="AA643" s="24"/>
      <c r="AB643" s="24"/>
      <c r="AC643" s="24"/>
      <c r="AD643" s="24"/>
      <c r="AE643" s="24"/>
      <c r="AF643" s="24"/>
      <c r="AG643" s="24"/>
      <c r="AH643" s="24"/>
      <c r="AI643" s="24"/>
      <c r="AJ643" s="25"/>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c r="BJ643" s="24"/>
    </row>
    <row r="644" spans="12:62" x14ac:dyDescent="0.35">
      <c r="L644" s="202"/>
      <c r="P644" s="202"/>
      <c r="W644" s="24"/>
      <c r="X644" s="24"/>
      <c r="Y644" s="24"/>
      <c r="Z644" s="24"/>
      <c r="AA644" s="24"/>
      <c r="AB644" s="24"/>
      <c r="AC644" s="24"/>
      <c r="AD644" s="24"/>
      <c r="AE644" s="24"/>
      <c r="AF644" s="24"/>
      <c r="AG644" s="24"/>
      <c r="AH644" s="24"/>
      <c r="AI644" s="24"/>
      <c r="AJ644" s="25"/>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c r="BH644" s="24"/>
      <c r="BI644" s="24"/>
      <c r="BJ644" s="24"/>
    </row>
    <row r="645" spans="12:62" x14ac:dyDescent="0.35">
      <c r="L645" s="202"/>
      <c r="P645" s="202"/>
      <c r="W645" s="24"/>
      <c r="X645" s="24"/>
      <c r="Y645" s="24"/>
      <c r="Z645" s="24"/>
      <c r="AA645" s="24"/>
      <c r="AB645" s="24"/>
      <c r="AC645" s="24"/>
      <c r="AD645" s="24"/>
      <c r="AE645" s="24"/>
      <c r="AF645" s="24"/>
      <c r="AG645" s="24"/>
      <c r="AH645" s="24"/>
      <c r="AI645" s="24"/>
      <c r="AJ645" s="25"/>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c r="BJ645" s="24"/>
    </row>
    <row r="646" spans="12:62" x14ac:dyDescent="0.35">
      <c r="L646" s="202"/>
      <c r="P646" s="202"/>
      <c r="W646" s="24"/>
      <c r="X646" s="24"/>
      <c r="Y646" s="24"/>
      <c r="Z646" s="24"/>
      <c r="AA646" s="24"/>
      <c r="AB646" s="24"/>
      <c r="AC646" s="24"/>
      <c r="AD646" s="24"/>
      <c r="AE646" s="24"/>
      <c r="AF646" s="24"/>
      <c r="AG646" s="24"/>
      <c r="AH646" s="24"/>
      <c r="AI646" s="24"/>
      <c r="AJ646" s="25"/>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c r="BJ646" s="24"/>
    </row>
    <row r="647" spans="12:62" x14ac:dyDescent="0.35">
      <c r="L647" s="202"/>
      <c r="P647" s="202"/>
      <c r="W647" s="24"/>
      <c r="X647" s="24"/>
      <c r="Y647" s="24"/>
      <c r="Z647" s="24"/>
      <c r="AA647" s="24"/>
      <c r="AB647" s="24"/>
      <c r="AC647" s="24"/>
      <c r="AD647" s="24"/>
      <c r="AE647" s="24"/>
      <c r="AF647" s="24"/>
      <c r="AG647" s="24"/>
      <c r="AH647" s="24"/>
      <c r="AI647" s="24"/>
      <c r="AJ647" s="25"/>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c r="BJ647" s="24"/>
    </row>
    <row r="648" spans="12:62" x14ac:dyDescent="0.35">
      <c r="L648" s="202"/>
      <c r="P648" s="202"/>
      <c r="W648" s="24"/>
      <c r="X648" s="24"/>
      <c r="Y648" s="24"/>
      <c r="Z648" s="24"/>
      <c r="AA648" s="24"/>
      <c r="AB648" s="24"/>
      <c r="AC648" s="24"/>
      <c r="AD648" s="24"/>
      <c r="AE648" s="24"/>
      <c r="AF648" s="24"/>
      <c r="AG648" s="24"/>
      <c r="AH648" s="24"/>
      <c r="AI648" s="24"/>
      <c r="AJ648" s="25"/>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c r="BH648" s="24"/>
      <c r="BI648" s="24"/>
      <c r="BJ648" s="24"/>
    </row>
    <row r="649" spans="12:62" x14ac:dyDescent="0.35">
      <c r="L649" s="202"/>
      <c r="P649" s="202"/>
      <c r="W649" s="24"/>
      <c r="X649" s="24"/>
      <c r="Y649" s="24"/>
      <c r="Z649" s="24"/>
      <c r="AA649" s="24"/>
      <c r="AB649" s="24"/>
      <c r="AC649" s="24"/>
      <c r="AD649" s="24"/>
      <c r="AE649" s="24"/>
      <c r="AF649" s="24"/>
      <c r="AG649" s="24"/>
      <c r="AH649" s="24"/>
      <c r="AI649" s="24"/>
      <c r="AJ649" s="25"/>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c r="BJ649" s="24"/>
    </row>
    <row r="650" spans="12:62" x14ac:dyDescent="0.35">
      <c r="L650" s="202"/>
      <c r="P650" s="202"/>
      <c r="W650" s="24"/>
      <c r="X650" s="24"/>
      <c r="Y650" s="24"/>
      <c r="Z650" s="24"/>
      <c r="AA650" s="24"/>
      <c r="AB650" s="24"/>
      <c r="AC650" s="24"/>
      <c r="AD650" s="24"/>
      <c r="AE650" s="24"/>
      <c r="AF650" s="24"/>
      <c r="AG650" s="24"/>
      <c r="AH650" s="24"/>
      <c r="AI650" s="24"/>
      <c r="AJ650" s="25"/>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c r="BH650" s="24"/>
      <c r="BI650" s="24"/>
      <c r="BJ650" s="24"/>
    </row>
    <row r="651" spans="12:62" x14ac:dyDescent="0.35">
      <c r="L651" s="202"/>
      <c r="P651" s="202"/>
      <c r="W651" s="24"/>
      <c r="X651" s="24"/>
      <c r="Y651" s="24"/>
      <c r="Z651" s="24"/>
      <c r="AA651" s="24"/>
      <c r="AB651" s="24"/>
      <c r="AC651" s="24"/>
      <c r="AD651" s="24"/>
      <c r="AE651" s="24"/>
      <c r="AF651" s="24"/>
      <c r="AG651" s="24"/>
      <c r="AH651" s="24"/>
      <c r="AI651" s="24"/>
      <c r="AJ651" s="25"/>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c r="BJ651" s="24"/>
    </row>
    <row r="652" spans="12:62" x14ac:dyDescent="0.35">
      <c r="L652" s="202"/>
      <c r="P652" s="202"/>
      <c r="W652" s="24"/>
      <c r="X652" s="24"/>
      <c r="Y652" s="24"/>
      <c r="Z652" s="24"/>
      <c r="AA652" s="24"/>
      <c r="AB652" s="24"/>
      <c r="AC652" s="24"/>
      <c r="AD652" s="24"/>
      <c r="AE652" s="24"/>
      <c r="AF652" s="24"/>
      <c r="AG652" s="24"/>
      <c r="AH652" s="24"/>
      <c r="AI652" s="24"/>
      <c r="AJ652" s="25"/>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c r="BH652" s="24"/>
      <c r="BI652" s="24"/>
      <c r="BJ652" s="24"/>
    </row>
    <row r="653" spans="12:62" x14ac:dyDescent="0.35">
      <c r="L653" s="202"/>
      <c r="P653" s="202"/>
      <c r="W653" s="24"/>
      <c r="X653" s="24"/>
      <c r="Y653" s="24"/>
      <c r="Z653" s="24"/>
      <c r="AA653" s="24"/>
      <c r="AB653" s="24"/>
      <c r="AC653" s="24"/>
      <c r="AD653" s="24"/>
      <c r="AE653" s="24"/>
      <c r="AF653" s="24"/>
      <c r="AG653" s="24"/>
      <c r="AH653" s="24"/>
      <c r="AI653" s="24"/>
      <c r="AJ653" s="25"/>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c r="BJ653" s="24"/>
    </row>
    <row r="654" spans="12:62" x14ac:dyDescent="0.35">
      <c r="L654" s="202"/>
      <c r="P654" s="202"/>
      <c r="W654" s="24"/>
      <c r="X654" s="24"/>
      <c r="Y654" s="24"/>
      <c r="Z654" s="24"/>
      <c r="AA654" s="24"/>
      <c r="AB654" s="24"/>
      <c r="AC654" s="24"/>
      <c r="AD654" s="24"/>
      <c r="AE654" s="24"/>
      <c r="AF654" s="24"/>
      <c r="AG654" s="24"/>
      <c r="AH654" s="24"/>
      <c r="AI654" s="24"/>
      <c r="AJ654" s="25"/>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c r="BJ654" s="24"/>
    </row>
    <row r="655" spans="12:62" x14ac:dyDescent="0.35">
      <c r="L655" s="202"/>
      <c r="P655" s="202"/>
      <c r="W655" s="24"/>
      <c r="X655" s="24"/>
      <c r="Y655" s="24"/>
      <c r="Z655" s="24"/>
      <c r="AA655" s="24"/>
      <c r="AB655" s="24"/>
      <c r="AC655" s="24"/>
      <c r="AD655" s="24"/>
      <c r="AE655" s="24"/>
      <c r="AF655" s="24"/>
      <c r="AG655" s="24"/>
      <c r="AH655" s="24"/>
      <c r="AI655" s="24"/>
      <c r="AJ655" s="25"/>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c r="BJ655" s="24"/>
    </row>
    <row r="656" spans="12:62" x14ac:dyDescent="0.35">
      <c r="L656" s="202"/>
      <c r="P656" s="202"/>
      <c r="W656" s="24"/>
      <c r="X656" s="24"/>
      <c r="Y656" s="24"/>
      <c r="Z656" s="24"/>
      <c r="AA656" s="24"/>
      <c r="AB656" s="24"/>
      <c r="AC656" s="24"/>
      <c r="AD656" s="24"/>
      <c r="AE656" s="24"/>
      <c r="AF656" s="24"/>
      <c r="AG656" s="24"/>
      <c r="AH656" s="24"/>
      <c r="AI656" s="24"/>
      <c r="AJ656" s="25"/>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c r="BJ656" s="24"/>
    </row>
    <row r="657" spans="12:62" x14ac:dyDescent="0.35">
      <c r="L657" s="202"/>
      <c r="P657" s="202"/>
      <c r="W657" s="24"/>
      <c r="X657" s="24"/>
      <c r="Y657" s="24"/>
      <c r="Z657" s="24"/>
      <c r="AA657" s="24"/>
      <c r="AB657" s="24"/>
      <c r="AC657" s="24"/>
      <c r="AD657" s="24"/>
      <c r="AE657" s="24"/>
      <c r="AF657" s="24"/>
      <c r="AG657" s="24"/>
      <c r="AH657" s="24"/>
      <c r="AI657" s="24"/>
      <c r="AJ657" s="25"/>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c r="BJ657" s="24"/>
    </row>
    <row r="658" spans="12:62" x14ac:dyDescent="0.35">
      <c r="L658" s="202"/>
      <c r="P658" s="202"/>
      <c r="W658" s="24"/>
      <c r="X658" s="24"/>
      <c r="Y658" s="24"/>
      <c r="Z658" s="24"/>
      <c r="AA658" s="24"/>
      <c r="AB658" s="24"/>
      <c r="AC658" s="24"/>
      <c r="AD658" s="24"/>
      <c r="AE658" s="24"/>
      <c r="AF658" s="24"/>
      <c r="AG658" s="24"/>
      <c r="AH658" s="24"/>
      <c r="AI658" s="24"/>
      <c r="AJ658" s="25"/>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c r="BJ658" s="24"/>
    </row>
    <row r="659" spans="12:62" x14ac:dyDescent="0.35">
      <c r="L659" s="202"/>
      <c r="P659" s="202"/>
      <c r="W659" s="24"/>
      <c r="X659" s="24"/>
      <c r="Y659" s="24"/>
      <c r="Z659" s="24"/>
      <c r="AA659" s="24"/>
      <c r="AB659" s="24"/>
      <c r="AC659" s="24"/>
      <c r="AD659" s="24"/>
      <c r="AE659" s="24"/>
      <c r="AF659" s="24"/>
      <c r="AG659" s="24"/>
      <c r="AH659" s="24"/>
      <c r="AI659" s="24"/>
      <c r="AJ659" s="25"/>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c r="BJ659" s="24"/>
    </row>
    <row r="660" spans="12:62" x14ac:dyDescent="0.35">
      <c r="L660" s="202"/>
      <c r="P660" s="202"/>
      <c r="W660" s="24"/>
      <c r="X660" s="24"/>
      <c r="Y660" s="24"/>
      <c r="Z660" s="24"/>
      <c r="AA660" s="24"/>
      <c r="AB660" s="24"/>
      <c r="AC660" s="24"/>
      <c r="AD660" s="24"/>
      <c r="AE660" s="24"/>
      <c r="AF660" s="24"/>
      <c r="AG660" s="24"/>
      <c r="AH660" s="24"/>
      <c r="AI660" s="24"/>
      <c r="AJ660" s="25"/>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c r="BH660" s="24"/>
      <c r="BI660" s="24"/>
      <c r="BJ660" s="24"/>
    </row>
    <row r="661" spans="12:62" x14ac:dyDescent="0.35">
      <c r="L661" s="202"/>
      <c r="P661" s="202"/>
      <c r="W661" s="24"/>
      <c r="X661" s="24"/>
      <c r="Y661" s="24"/>
      <c r="Z661" s="24"/>
      <c r="AA661" s="24"/>
      <c r="AB661" s="24"/>
      <c r="AC661" s="24"/>
      <c r="AD661" s="24"/>
      <c r="AE661" s="24"/>
      <c r="AF661" s="24"/>
      <c r="AG661" s="24"/>
      <c r="AH661" s="24"/>
      <c r="AI661" s="24"/>
      <c r="AJ661" s="25"/>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c r="BJ661" s="24"/>
    </row>
    <row r="662" spans="12:62" x14ac:dyDescent="0.35">
      <c r="L662" s="202"/>
      <c r="P662" s="202"/>
      <c r="W662" s="24"/>
      <c r="X662" s="24"/>
      <c r="Y662" s="24"/>
      <c r="Z662" s="24"/>
      <c r="AA662" s="24"/>
      <c r="AB662" s="24"/>
      <c r="AC662" s="24"/>
      <c r="AD662" s="24"/>
      <c r="AE662" s="24"/>
      <c r="AF662" s="24"/>
      <c r="AG662" s="24"/>
      <c r="AH662" s="24"/>
      <c r="AI662" s="24"/>
      <c r="AJ662" s="25"/>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c r="BJ662" s="24"/>
    </row>
    <row r="663" spans="12:62" x14ac:dyDescent="0.35">
      <c r="L663" s="202"/>
      <c r="P663" s="202"/>
      <c r="W663" s="24"/>
      <c r="X663" s="24"/>
      <c r="Y663" s="24"/>
      <c r="Z663" s="24"/>
      <c r="AA663" s="24"/>
      <c r="AB663" s="24"/>
      <c r="AC663" s="24"/>
      <c r="AD663" s="24"/>
      <c r="AE663" s="24"/>
      <c r="AF663" s="24"/>
      <c r="AG663" s="24"/>
      <c r="AH663" s="24"/>
      <c r="AI663" s="24"/>
      <c r="AJ663" s="25"/>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c r="BJ663" s="24"/>
    </row>
    <row r="664" spans="12:62" x14ac:dyDescent="0.35">
      <c r="L664" s="202"/>
      <c r="P664" s="202"/>
      <c r="W664" s="24"/>
      <c r="X664" s="24"/>
      <c r="Y664" s="24"/>
      <c r="Z664" s="24"/>
      <c r="AA664" s="24"/>
      <c r="AB664" s="24"/>
      <c r="AC664" s="24"/>
      <c r="AD664" s="24"/>
      <c r="AE664" s="24"/>
      <c r="AF664" s="24"/>
      <c r="AG664" s="24"/>
      <c r="AH664" s="24"/>
      <c r="AI664" s="24"/>
      <c r="AJ664" s="25"/>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row>
    <row r="665" spans="12:62" x14ac:dyDescent="0.35">
      <c r="L665" s="202"/>
      <c r="P665" s="202"/>
      <c r="W665" s="24"/>
      <c r="X665" s="24"/>
      <c r="Y665" s="24"/>
      <c r="Z665" s="24"/>
      <c r="AA665" s="24"/>
      <c r="AB665" s="24"/>
      <c r="AC665" s="24"/>
      <c r="AD665" s="24"/>
      <c r="AE665" s="24"/>
      <c r="AF665" s="24"/>
      <c r="AG665" s="24"/>
      <c r="AH665" s="24"/>
      <c r="AI665" s="24"/>
      <c r="AJ665" s="25"/>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c r="BJ665" s="24"/>
    </row>
    <row r="666" spans="12:62" x14ac:dyDescent="0.35">
      <c r="L666" s="202"/>
      <c r="P666" s="202"/>
      <c r="W666" s="24"/>
      <c r="X666" s="24"/>
      <c r="Y666" s="24"/>
      <c r="Z666" s="24"/>
      <c r="AA666" s="24"/>
      <c r="AB666" s="24"/>
      <c r="AC666" s="24"/>
      <c r="AD666" s="24"/>
      <c r="AE666" s="24"/>
      <c r="AF666" s="24"/>
      <c r="AG666" s="24"/>
      <c r="AH666" s="24"/>
      <c r="AI666" s="24"/>
      <c r="AJ666" s="25"/>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c r="BH666" s="24"/>
      <c r="BI666" s="24"/>
      <c r="BJ666" s="24"/>
    </row>
    <row r="667" spans="12:62" x14ac:dyDescent="0.35">
      <c r="L667" s="202"/>
      <c r="P667" s="202"/>
      <c r="W667" s="24"/>
      <c r="X667" s="24"/>
      <c r="Y667" s="24"/>
      <c r="Z667" s="24"/>
      <c r="AA667" s="24"/>
      <c r="AB667" s="24"/>
      <c r="AC667" s="24"/>
      <c r="AD667" s="24"/>
      <c r="AE667" s="24"/>
      <c r="AF667" s="24"/>
      <c r="AG667" s="24"/>
      <c r="AH667" s="24"/>
      <c r="AI667" s="24"/>
      <c r="AJ667" s="25"/>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c r="BJ667" s="24"/>
    </row>
    <row r="668" spans="12:62" x14ac:dyDescent="0.35">
      <c r="L668" s="202"/>
      <c r="P668" s="202"/>
      <c r="W668" s="24"/>
      <c r="X668" s="24"/>
      <c r="Y668" s="24"/>
      <c r="Z668" s="24"/>
      <c r="AA668" s="24"/>
      <c r="AB668" s="24"/>
      <c r="AC668" s="24"/>
      <c r="AD668" s="24"/>
      <c r="AE668" s="24"/>
      <c r="AF668" s="24"/>
      <c r="AG668" s="24"/>
      <c r="AH668" s="24"/>
      <c r="AI668" s="24"/>
      <c r="AJ668" s="25"/>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c r="BJ668" s="24"/>
    </row>
    <row r="669" spans="12:62" x14ac:dyDescent="0.35">
      <c r="L669" s="202"/>
      <c r="P669" s="202"/>
      <c r="W669" s="24"/>
      <c r="X669" s="24"/>
      <c r="Y669" s="24"/>
      <c r="Z669" s="24"/>
      <c r="AA669" s="24"/>
      <c r="AB669" s="24"/>
      <c r="AC669" s="24"/>
      <c r="AD669" s="24"/>
      <c r="AE669" s="24"/>
      <c r="AF669" s="24"/>
      <c r="AG669" s="24"/>
      <c r="AH669" s="24"/>
      <c r="AI669" s="24"/>
      <c r="AJ669" s="25"/>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c r="BJ669" s="24"/>
    </row>
    <row r="670" spans="12:62" x14ac:dyDescent="0.35">
      <c r="L670" s="202"/>
      <c r="P670" s="202"/>
      <c r="W670" s="24"/>
      <c r="X670" s="24"/>
      <c r="Y670" s="24"/>
      <c r="Z670" s="24"/>
      <c r="AA670" s="24"/>
      <c r="AB670" s="24"/>
      <c r="AC670" s="24"/>
      <c r="AD670" s="24"/>
      <c r="AE670" s="24"/>
      <c r="AF670" s="24"/>
      <c r="AG670" s="24"/>
      <c r="AH670" s="24"/>
      <c r="AI670" s="24"/>
      <c r="AJ670" s="25"/>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c r="BJ670" s="24"/>
    </row>
    <row r="671" spans="12:62" x14ac:dyDescent="0.35">
      <c r="L671" s="202"/>
      <c r="P671" s="202"/>
      <c r="W671" s="24"/>
      <c r="X671" s="24"/>
      <c r="Y671" s="24"/>
      <c r="Z671" s="24"/>
      <c r="AA671" s="24"/>
      <c r="AB671" s="24"/>
      <c r="AC671" s="24"/>
      <c r="AD671" s="24"/>
      <c r="AE671" s="24"/>
      <c r="AF671" s="24"/>
      <c r="AG671" s="24"/>
      <c r="AH671" s="24"/>
      <c r="AI671" s="24"/>
      <c r="AJ671" s="25"/>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c r="BJ671" s="24"/>
    </row>
    <row r="672" spans="12:62" x14ac:dyDescent="0.35">
      <c r="L672" s="202"/>
      <c r="P672" s="202"/>
      <c r="W672" s="24"/>
      <c r="X672" s="24"/>
      <c r="Y672" s="24"/>
      <c r="Z672" s="24"/>
      <c r="AA672" s="24"/>
      <c r="AB672" s="24"/>
      <c r="AC672" s="24"/>
      <c r="AD672" s="24"/>
      <c r="AE672" s="24"/>
      <c r="AF672" s="24"/>
      <c r="AG672" s="24"/>
      <c r="AH672" s="24"/>
      <c r="AI672" s="24"/>
      <c r="AJ672" s="25"/>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c r="BJ672" s="24"/>
    </row>
    <row r="673" spans="12:62" x14ac:dyDescent="0.35">
      <c r="L673" s="202"/>
      <c r="P673" s="202"/>
      <c r="W673" s="24"/>
      <c r="X673" s="24"/>
      <c r="Y673" s="24"/>
      <c r="Z673" s="24"/>
      <c r="AA673" s="24"/>
      <c r="AB673" s="24"/>
      <c r="AC673" s="24"/>
      <c r="AD673" s="24"/>
      <c r="AE673" s="24"/>
      <c r="AF673" s="24"/>
      <c r="AG673" s="24"/>
      <c r="AH673" s="24"/>
      <c r="AI673" s="24"/>
      <c r="AJ673" s="25"/>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c r="BJ673" s="24"/>
    </row>
    <row r="674" spans="12:62" x14ac:dyDescent="0.35">
      <c r="L674" s="202"/>
      <c r="P674" s="202"/>
      <c r="W674" s="24"/>
      <c r="X674" s="24"/>
      <c r="Y674" s="24"/>
      <c r="Z674" s="24"/>
      <c r="AA674" s="24"/>
      <c r="AB674" s="24"/>
      <c r="AC674" s="24"/>
      <c r="AD674" s="24"/>
      <c r="AE674" s="24"/>
      <c r="AF674" s="24"/>
      <c r="AG674" s="24"/>
      <c r="AH674" s="24"/>
      <c r="AI674" s="24"/>
      <c r="AJ674" s="25"/>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c r="BJ674" s="24"/>
    </row>
    <row r="675" spans="12:62" x14ac:dyDescent="0.35">
      <c r="L675" s="202"/>
      <c r="P675" s="202"/>
      <c r="W675" s="24"/>
      <c r="X675" s="24"/>
      <c r="Y675" s="24"/>
      <c r="Z675" s="24"/>
      <c r="AA675" s="24"/>
      <c r="AB675" s="24"/>
      <c r="AC675" s="24"/>
      <c r="AD675" s="24"/>
      <c r="AE675" s="24"/>
      <c r="AF675" s="24"/>
      <c r="AG675" s="24"/>
      <c r="AH675" s="24"/>
      <c r="AI675" s="24"/>
      <c r="AJ675" s="25"/>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c r="BJ675" s="24"/>
    </row>
    <row r="676" spans="12:62" x14ac:dyDescent="0.35">
      <c r="L676" s="202"/>
      <c r="P676" s="202"/>
      <c r="W676" s="24"/>
      <c r="X676" s="24"/>
      <c r="Y676" s="24"/>
      <c r="Z676" s="24"/>
      <c r="AA676" s="24"/>
      <c r="AB676" s="24"/>
      <c r="AC676" s="24"/>
      <c r="AD676" s="24"/>
      <c r="AE676" s="24"/>
      <c r="AF676" s="24"/>
      <c r="AG676" s="24"/>
      <c r="AH676" s="24"/>
      <c r="AI676" s="24"/>
      <c r="AJ676" s="25"/>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c r="BJ676" s="24"/>
    </row>
    <row r="677" spans="12:62" x14ac:dyDescent="0.35">
      <c r="L677" s="202"/>
      <c r="P677" s="202"/>
      <c r="W677" s="24"/>
      <c r="X677" s="24"/>
      <c r="Y677" s="24"/>
      <c r="Z677" s="24"/>
      <c r="AA677" s="24"/>
      <c r="AB677" s="24"/>
      <c r="AC677" s="24"/>
      <c r="AD677" s="24"/>
      <c r="AE677" s="24"/>
      <c r="AF677" s="24"/>
      <c r="AG677" s="24"/>
      <c r="AH677" s="24"/>
      <c r="AI677" s="24"/>
      <c r="AJ677" s="25"/>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c r="BJ677" s="24"/>
    </row>
    <row r="678" spans="12:62" x14ac:dyDescent="0.35">
      <c r="L678" s="202"/>
      <c r="P678" s="202"/>
      <c r="W678" s="24"/>
      <c r="X678" s="24"/>
      <c r="Y678" s="24"/>
      <c r="Z678" s="24"/>
      <c r="AA678" s="24"/>
      <c r="AB678" s="24"/>
      <c r="AC678" s="24"/>
      <c r="AD678" s="24"/>
      <c r="AE678" s="24"/>
      <c r="AF678" s="24"/>
      <c r="AG678" s="24"/>
      <c r="AH678" s="24"/>
      <c r="AI678" s="24"/>
      <c r="AJ678" s="25"/>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c r="BJ678" s="24"/>
    </row>
    <row r="679" spans="12:62" x14ac:dyDescent="0.35">
      <c r="L679" s="202"/>
      <c r="P679" s="202"/>
      <c r="W679" s="24"/>
      <c r="X679" s="24"/>
      <c r="Y679" s="24"/>
      <c r="Z679" s="24"/>
      <c r="AA679" s="24"/>
      <c r="AB679" s="24"/>
      <c r="AC679" s="24"/>
      <c r="AD679" s="24"/>
      <c r="AE679" s="24"/>
      <c r="AF679" s="24"/>
      <c r="AG679" s="24"/>
      <c r="AH679" s="24"/>
      <c r="AI679" s="24"/>
      <c r="AJ679" s="25"/>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c r="BJ679" s="24"/>
    </row>
    <row r="680" spans="12:62" x14ac:dyDescent="0.35">
      <c r="L680" s="202"/>
      <c r="P680" s="202"/>
      <c r="W680" s="24"/>
      <c r="X680" s="24"/>
      <c r="Y680" s="24"/>
      <c r="Z680" s="24"/>
      <c r="AA680" s="24"/>
      <c r="AB680" s="24"/>
      <c r="AC680" s="24"/>
      <c r="AD680" s="24"/>
      <c r="AE680" s="24"/>
      <c r="AF680" s="24"/>
      <c r="AG680" s="24"/>
      <c r="AH680" s="24"/>
      <c r="AI680" s="24"/>
      <c r="AJ680" s="25"/>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c r="BH680" s="24"/>
      <c r="BI680" s="24"/>
      <c r="BJ680" s="24"/>
    </row>
    <row r="681" spans="12:62" x14ac:dyDescent="0.35">
      <c r="L681" s="202"/>
      <c r="P681" s="202"/>
      <c r="W681" s="24"/>
      <c r="X681" s="24"/>
      <c r="Y681" s="24"/>
      <c r="Z681" s="24"/>
      <c r="AA681" s="24"/>
      <c r="AB681" s="24"/>
      <c r="AC681" s="24"/>
      <c r="AD681" s="24"/>
      <c r="AE681" s="24"/>
      <c r="AF681" s="24"/>
      <c r="AG681" s="24"/>
      <c r="AH681" s="24"/>
      <c r="AI681" s="24"/>
      <c r="AJ681" s="25"/>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c r="BJ681" s="24"/>
    </row>
    <row r="682" spans="12:62" x14ac:dyDescent="0.35">
      <c r="L682" s="202"/>
      <c r="P682" s="202"/>
      <c r="W682" s="24"/>
      <c r="X682" s="24"/>
      <c r="Y682" s="24"/>
      <c r="Z682" s="24"/>
      <c r="AA682" s="24"/>
      <c r="AB682" s="24"/>
      <c r="AC682" s="24"/>
      <c r="AD682" s="24"/>
      <c r="AE682" s="24"/>
      <c r="AF682" s="24"/>
      <c r="AG682" s="24"/>
      <c r="AH682" s="24"/>
      <c r="AI682" s="24"/>
      <c r="AJ682" s="25"/>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c r="BH682" s="24"/>
      <c r="BI682" s="24"/>
      <c r="BJ682" s="24"/>
    </row>
    <row r="683" spans="12:62" x14ac:dyDescent="0.35">
      <c r="L683" s="202"/>
      <c r="P683" s="202"/>
      <c r="W683" s="24"/>
      <c r="X683" s="24"/>
      <c r="Y683" s="24"/>
      <c r="Z683" s="24"/>
      <c r="AA683" s="24"/>
      <c r="AB683" s="24"/>
      <c r="AC683" s="24"/>
      <c r="AD683" s="24"/>
      <c r="AE683" s="24"/>
      <c r="AF683" s="24"/>
      <c r="AG683" s="24"/>
      <c r="AH683" s="24"/>
      <c r="AI683" s="24"/>
      <c r="AJ683" s="25"/>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c r="BJ683" s="24"/>
    </row>
    <row r="684" spans="12:62" x14ac:dyDescent="0.35">
      <c r="L684" s="202"/>
      <c r="P684" s="202"/>
      <c r="W684" s="24"/>
      <c r="X684" s="24"/>
      <c r="Y684" s="24"/>
      <c r="Z684" s="24"/>
      <c r="AA684" s="24"/>
      <c r="AB684" s="24"/>
      <c r="AC684" s="24"/>
      <c r="AD684" s="24"/>
      <c r="AE684" s="24"/>
      <c r="AF684" s="24"/>
      <c r="AG684" s="24"/>
      <c r="AH684" s="24"/>
      <c r="AI684" s="24"/>
      <c r="AJ684" s="25"/>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c r="BH684" s="24"/>
      <c r="BI684" s="24"/>
      <c r="BJ684" s="24"/>
    </row>
    <row r="685" spans="12:62" x14ac:dyDescent="0.35">
      <c r="L685" s="202"/>
      <c r="P685" s="202"/>
      <c r="W685" s="24"/>
      <c r="X685" s="24"/>
      <c r="Y685" s="24"/>
      <c r="Z685" s="24"/>
      <c r="AA685" s="24"/>
      <c r="AB685" s="24"/>
      <c r="AC685" s="24"/>
      <c r="AD685" s="24"/>
      <c r="AE685" s="24"/>
      <c r="AF685" s="24"/>
      <c r="AG685" s="24"/>
      <c r="AH685" s="24"/>
      <c r="AI685" s="24"/>
      <c r="AJ685" s="25"/>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c r="BJ685" s="24"/>
    </row>
    <row r="686" spans="12:62" x14ac:dyDescent="0.35">
      <c r="L686" s="202"/>
      <c r="P686" s="202"/>
      <c r="W686" s="24"/>
      <c r="X686" s="24"/>
      <c r="Y686" s="24"/>
      <c r="Z686" s="24"/>
      <c r="AA686" s="24"/>
      <c r="AB686" s="24"/>
      <c r="AC686" s="24"/>
      <c r="AD686" s="24"/>
      <c r="AE686" s="24"/>
      <c r="AF686" s="24"/>
      <c r="AG686" s="24"/>
      <c r="AH686" s="24"/>
      <c r="AI686" s="24"/>
      <c r="AJ686" s="25"/>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c r="BJ686" s="24"/>
    </row>
    <row r="687" spans="12:62" x14ac:dyDescent="0.35">
      <c r="L687" s="202"/>
      <c r="P687" s="202"/>
      <c r="W687" s="24"/>
      <c r="X687" s="24"/>
      <c r="Y687" s="24"/>
      <c r="Z687" s="24"/>
      <c r="AA687" s="24"/>
      <c r="AB687" s="24"/>
      <c r="AC687" s="24"/>
      <c r="AD687" s="24"/>
      <c r="AE687" s="24"/>
      <c r="AF687" s="24"/>
      <c r="AG687" s="24"/>
      <c r="AH687" s="24"/>
      <c r="AI687" s="24"/>
      <c r="AJ687" s="25"/>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c r="BJ687" s="24"/>
    </row>
    <row r="688" spans="12:62" x14ac:dyDescent="0.35">
      <c r="L688" s="202"/>
      <c r="P688" s="202"/>
      <c r="W688" s="24"/>
      <c r="X688" s="24"/>
      <c r="Y688" s="24"/>
      <c r="Z688" s="24"/>
      <c r="AA688" s="24"/>
      <c r="AB688" s="24"/>
      <c r="AC688" s="24"/>
      <c r="AD688" s="24"/>
      <c r="AE688" s="24"/>
      <c r="AF688" s="24"/>
      <c r="AG688" s="24"/>
      <c r="AH688" s="24"/>
      <c r="AI688" s="24"/>
      <c r="AJ688" s="25"/>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c r="BH688" s="24"/>
      <c r="BI688" s="24"/>
      <c r="BJ688" s="24"/>
    </row>
    <row r="689" spans="12:62" x14ac:dyDescent="0.35">
      <c r="L689" s="202"/>
      <c r="P689" s="202"/>
      <c r="W689" s="24"/>
      <c r="X689" s="24"/>
      <c r="Y689" s="24"/>
      <c r="Z689" s="24"/>
      <c r="AA689" s="24"/>
      <c r="AB689" s="24"/>
      <c r="AC689" s="24"/>
      <c r="AD689" s="24"/>
      <c r="AE689" s="24"/>
      <c r="AF689" s="24"/>
      <c r="AG689" s="24"/>
      <c r="AH689" s="24"/>
      <c r="AI689" s="24"/>
      <c r="AJ689" s="25"/>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row>
    <row r="690" spans="12:62" x14ac:dyDescent="0.35">
      <c r="L690" s="202"/>
      <c r="P690" s="202"/>
      <c r="W690" s="24"/>
      <c r="X690" s="24"/>
      <c r="Y690" s="24"/>
      <c r="Z690" s="24"/>
      <c r="AA690" s="24"/>
      <c r="AB690" s="24"/>
      <c r="AC690" s="24"/>
      <c r="AD690" s="24"/>
      <c r="AE690" s="24"/>
      <c r="AF690" s="24"/>
      <c r="AG690" s="24"/>
      <c r="AH690" s="24"/>
      <c r="AI690" s="24"/>
      <c r="AJ690" s="25"/>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c r="BH690" s="24"/>
      <c r="BI690" s="24"/>
      <c r="BJ690" s="24"/>
    </row>
    <row r="691" spans="12:62" x14ac:dyDescent="0.35">
      <c r="L691" s="202"/>
      <c r="P691" s="202"/>
      <c r="W691" s="24"/>
      <c r="X691" s="24"/>
      <c r="Y691" s="24"/>
      <c r="Z691" s="24"/>
      <c r="AA691" s="24"/>
      <c r="AB691" s="24"/>
      <c r="AC691" s="24"/>
      <c r="AD691" s="24"/>
      <c r="AE691" s="24"/>
      <c r="AF691" s="24"/>
      <c r="AG691" s="24"/>
      <c r="AH691" s="24"/>
      <c r="AI691" s="24"/>
      <c r="AJ691" s="25"/>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c r="BJ691" s="24"/>
    </row>
    <row r="692" spans="12:62" x14ac:dyDescent="0.35">
      <c r="L692" s="202"/>
      <c r="P692" s="202"/>
      <c r="W692" s="24"/>
      <c r="X692" s="24"/>
      <c r="Y692" s="24"/>
      <c r="Z692" s="24"/>
      <c r="AA692" s="24"/>
      <c r="AB692" s="24"/>
      <c r="AC692" s="24"/>
      <c r="AD692" s="24"/>
      <c r="AE692" s="24"/>
      <c r="AF692" s="24"/>
      <c r="AG692" s="24"/>
      <c r="AH692" s="24"/>
      <c r="AI692" s="24"/>
      <c r="AJ692" s="25"/>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c r="BH692" s="24"/>
      <c r="BI692" s="24"/>
      <c r="BJ692" s="24"/>
    </row>
    <row r="693" spans="12:62" x14ac:dyDescent="0.35">
      <c r="L693" s="202"/>
      <c r="P693" s="202"/>
      <c r="W693" s="24"/>
      <c r="X693" s="24"/>
      <c r="Y693" s="24"/>
      <c r="Z693" s="24"/>
      <c r="AA693" s="24"/>
      <c r="AB693" s="24"/>
      <c r="AC693" s="24"/>
      <c r="AD693" s="24"/>
      <c r="AE693" s="24"/>
      <c r="AF693" s="24"/>
      <c r="AG693" s="24"/>
      <c r="AH693" s="24"/>
      <c r="AI693" s="24"/>
      <c r="AJ693" s="25"/>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c r="BJ693" s="24"/>
    </row>
    <row r="694" spans="12:62" x14ac:dyDescent="0.35">
      <c r="L694" s="202"/>
      <c r="P694" s="202"/>
      <c r="W694" s="24"/>
      <c r="X694" s="24"/>
      <c r="Y694" s="24"/>
      <c r="Z694" s="24"/>
      <c r="AA694" s="24"/>
      <c r="AB694" s="24"/>
      <c r="AC694" s="24"/>
      <c r="AD694" s="24"/>
      <c r="AE694" s="24"/>
      <c r="AF694" s="24"/>
      <c r="AG694" s="24"/>
      <c r="AH694" s="24"/>
      <c r="AI694" s="24"/>
      <c r="AJ694" s="25"/>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c r="BJ694" s="24"/>
    </row>
    <row r="695" spans="12:62" x14ac:dyDescent="0.35">
      <c r="L695" s="202"/>
      <c r="P695" s="202"/>
      <c r="W695" s="24"/>
      <c r="X695" s="24"/>
      <c r="Y695" s="24"/>
      <c r="Z695" s="24"/>
      <c r="AA695" s="24"/>
      <c r="AB695" s="24"/>
      <c r="AC695" s="24"/>
      <c r="AD695" s="24"/>
      <c r="AE695" s="24"/>
      <c r="AF695" s="24"/>
      <c r="AG695" s="24"/>
      <c r="AH695" s="24"/>
      <c r="AI695" s="24"/>
      <c r="AJ695" s="25"/>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c r="BJ695" s="24"/>
    </row>
    <row r="696" spans="12:62" x14ac:dyDescent="0.35">
      <c r="L696" s="202"/>
      <c r="P696" s="202"/>
      <c r="W696" s="24"/>
      <c r="X696" s="24"/>
      <c r="Y696" s="24"/>
      <c r="Z696" s="24"/>
      <c r="AA696" s="24"/>
      <c r="AB696" s="24"/>
      <c r="AC696" s="24"/>
      <c r="AD696" s="24"/>
      <c r="AE696" s="24"/>
      <c r="AF696" s="24"/>
      <c r="AG696" s="24"/>
      <c r="AH696" s="24"/>
      <c r="AI696" s="24"/>
      <c r="AJ696" s="25"/>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c r="BH696" s="24"/>
      <c r="BI696" s="24"/>
      <c r="BJ696" s="24"/>
    </row>
    <row r="697" spans="12:62" x14ac:dyDescent="0.35">
      <c r="L697" s="202"/>
      <c r="P697" s="202"/>
      <c r="W697" s="24"/>
      <c r="X697" s="24"/>
      <c r="Y697" s="24"/>
      <c r="Z697" s="24"/>
      <c r="AA697" s="24"/>
      <c r="AB697" s="24"/>
      <c r="AC697" s="24"/>
      <c r="AD697" s="24"/>
      <c r="AE697" s="24"/>
      <c r="AF697" s="24"/>
      <c r="AG697" s="24"/>
      <c r="AH697" s="24"/>
      <c r="AI697" s="24"/>
      <c r="AJ697" s="25"/>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c r="BJ697" s="24"/>
    </row>
    <row r="698" spans="12:62" x14ac:dyDescent="0.35">
      <c r="L698" s="202"/>
      <c r="P698" s="202"/>
      <c r="W698" s="24"/>
      <c r="X698" s="24"/>
      <c r="Y698" s="24"/>
      <c r="Z698" s="24"/>
      <c r="AA698" s="24"/>
      <c r="AB698" s="24"/>
      <c r="AC698" s="24"/>
      <c r="AD698" s="24"/>
      <c r="AE698" s="24"/>
      <c r="AF698" s="24"/>
      <c r="AG698" s="24"/>
      <c r="AH698" s="24"/>
      <c r="AI698" s="24"/>
      <c r="AJ698" s="25"/>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c r="BH698" s="24"/>
      <c r="BI698" s="24"/>
      <c r="BJ698" s="24"/>
    </row>
    <row r="699" spans="12:62" x14ac:dyDescent="0.35">
      <c r="L699" s="202"/>
      <c r="P699" s="202"/>
      <c r="W699" s="24"/>
      <c r="X699" s="24"/>
      <c r="Y699" s="24"/>
      <c r="Z699" s="24"/>
      <c r="AA699" s="24"/>
      <c r="AB699" s="24"/>
      <c r="AC699" s="24"/>
      <c r="AD699" s="24"/>
      <c r="AE699" s="24"/>
      <c r="AF699" s="24"/>
      <c r="AG699" s="24"/>
      <c r="AH699" s="24"/>
      <c r="AI699" s="24"/>
      <c r="AJ699" s="25"/>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c r="BJ699" s="24"/>
    </row>
    <row r="700" spans="12:62" x14ac:dyDescent="0.35">
      <c r="L700" s="202"/>
      <c r="P700" s="202"/>
      <c r="W700" s="24"/>
      <c r="X700" s="24"/>
      <c r="Y700" s="24"/>
      <c r="Z700" s="24"/>
      <c r="AA700" s="24"/>
      <c r="AB700" s="24"/>
      <c r="AC700" s="24"/>
      <c r="AD700" s="24"/>
      <c r="AE700" s="24"/>
      <c r="AF700" s="24"/>
      <c r="AG700" s="24"/>
      <c r="AH700" s="24"/>
      <c r="AI700" s="24"/>
      <c r="AJ700" s="25"/>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c r="BH700" s="24"/>
      <c r="BI700" s="24"/>
      <c r="BJ700" s="24"/>
    </row>
    <row r="701" spans="12:62" x14ac:dyDescent="0.35">
      <c r="L701" s="202"/>
      <c r="P701" s="202"/>
      <c r="W701" s="24"/>
      <c r="X701" s="24"/>
      <c r="Y701" s="24"/>
      <c r="Z701" s="24"/>
      <c r="AA701" s="24"/>
      <c r="AB701" s="24"/>
      <c r="AC701" s="24"/>
      <c r="AD701" s="24"/>
      <c r="AE701" s="24"/>
      <c r="AF701" s="24"/>
      <c r="AG701" s="24"/>
      <c r="AH701" s="24"/>
      <c r="AI701" s="24"/>
      <c r="AJ701" s="25"/>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c r="BJ701" s="24"/>
    </row>
    <row r="702" spans="12:62" x14ac:dyDescent="0.35">
      <c r="L702" s="202"/>
      <c r="P702" s="202"/>
      <c r="W702" s="24"/>
      <c r="X702" s="24"/>
      <c r="Y702" s="24"/>
      <c r="Z702" s="24"/>
      <c r="AA702" s="24"/>
      <c r="AB702" s="24"/>
      <c r="AC702" s="24"/>
      <c r="AD702" s="24"/>
      <c r="AE702" s="24"/>
      <c r="AF702" s="24"/>
      <c r="AG702" s="24"/>
      <c r="AH702" s="24"/>
      <c r="AI702" s="24"/>
      <c r="AJ702" s="25"/>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c r="BJ702" s="24"/>
    </row>
    <row r="703" spans="12:62" x14ac:dyDescent="0.35">
      <c r="L703" s="202"/>
      <c r="P703" s="202"/>
      <c r="W703" s="24"/>
      <c r="X703" s="24"/>
      <c r="Y703" s="24"/>
      <c r="Z703" s="24"/>
      <c r="AA703" s="24"/>
      <c r="AB703" s="24"/>
      <c r="AC703" s="24"/>
      <c r="AD703" s="24"/>
      <c r="AE703" s="24"/>
      <c r="AF703" s="24"/>
      <c r="AG703" s="24"/>
      <c r="AH703" s="24"/>
      <c r="AI703" s="24"/>
      <c r="AJ703" s="25"/>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c r="BJ703" s="24"/>
    </row>
    <row r="704" spans="12:62" x14ac:dyDescent="0.35">
      <c r="L704" s="202"/>
      <c r="P704" s="202"/>
      <c r="W704" s="24"/>
      <c r="X704" s="24"/>
      <c r="Y704" s="24"/>
      <c r="Z704" s="24"/>
      <c r="AA704" s="24"/>
      <c r="AB704" s="24"/>
      <c r="AC704" s="24"/>
      <c r="AD704" s="24"/>
      <c r="AE704" s="24"/>
      <c r="AF704" s="24"/>
      <c r="AG704" s="24"/>
      <c r="AH704" s="24"/>
      <c r="AI704" s="24"/>
      <c r="AJ704" s="25"/>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c r="BH704" s="24"/>
      <c r="BI704" s="24"/>
      <c r="BJ704" s="24"/>
    </row>
    <row r="705" spans="12:62" x14ac:dyDescent="0.35">
      <c r="L705" s="202"/>
      <c r="P705" s="202"/>
      <c r="W705" s="24"/>
      <c r="X705" s="24"/>
      <c r="Y705" s="24"/>
      <c r="Z705" s="24"/>
      <c r="AA705" s="24"/>
      <c r="AB705" s="24"/>
      <c r="AC705" s="24"/>
      <c r="AD705" s="24"/>
      <c r="AE705" s="24"/>
      <c r="AF705" s="24"/>
      <c r="AG705" s="24"/>
      <c r="AH705" s="24"/>
      <c r="AI705" s="24"/>
      <c r="AJ705" s="25"/>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c r="BJ705" s="24"/>
    </row>
    <row r="706" spans="12:62" x14ac:dyDescent="0.35">
      <c r="L706" s="202"/>
      <c r="P706" s="202"/>
      <c r="W706" s="24"/>
      <c r="X706" s="24"/>
      <c r="Y706" s="24"/>
      <c r="Z706" s="24"/>
      <c r="AA706" s="24"/>
      <c r="AB706" s="24"/>
      <c r="AC706" s="24"/>
      <c r="AD706" s="24"/>
      <c r="AE706" s="24"/>
      <c r="AF706" s="24"/>
      <c r="AG706" s="24"/>
      <c r="AH706" s="24"/>
      <c r="AI706" s="24"/>
      <c r="AJ706" s="25"/>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c r="BJ706" s="24"/>
    </row>
    <row r="707" spans="12:62" x14ac:dyDescent="0.35">
      <c r="L707" s="202"/>
      <c r="P707" s="202"/>
      <c r="W707" s="24"/>
      <c r="X707" s="24"/>
      <c r="Y707" s="24"/>
      <c r="Z707" s="24"/>
      <c r="AA707" s="24"/>
      <c r="AB707" s="24"/>
      <c r="AC707" s="24"/>
      <c r="AD707" s="24"/>
      <c r="AE707" s="24"/>
      <c r="AF707" s="24"/>
      <c r="AG707" s="24"/>
      <c r="AH707" s="24"/>
      <c r="AI707" s="24"/>
      <c r="AJ707" s="25"/>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c r="BJ707" s="24"/>
    </row>
    <row r="708" spans="12:62" x14ac:dyDescent="0.35">
      <c r="L708" s="202"/>
      <c r="P708" s="202"/>
      <c r="W708" s="24"/>
      <c r="X708" s="24"/>
      <c r="Y708" s="24"/>
      <c r="Z708" s="24"/>
      <c r="AA708" s="24"/>
      <c r="AB708" s="24"/>
      <c r="AC708" s="24"/>
      <c r="AD708" s="24"/>
      <c r="AE708" s="24"/>
      <c r="AF708" s="24"/>
      <c r="AG708" s="24"/>
      <c r="AH708" s="24"/>
      <c r="AI708" s="24"/>
      <c r="AJ708" s="25"/>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c r="BJ708" s="24"/>
    </row>
    <row r="709" spans="12:62" x14ac:dyDescent="0.35">
      <c r="L709" s="202"/>
      <c r="P709" s="202"/>
      <c r="W709" s="24"/>
      <c r="X709" s="24"/>
      <c r="Y709" s="24"/>
      <c r="Z709" s="24"/>
      <c r="AA709" s="24"/>
      <c r="AB709" s="24"/>
      <c r="AC709" s="24"/>
      <c r="AD709" s="24"/>
      <c r="AE709" s="24"/>
      <c r="AF709" s="24"/>
      <c r="AG709" s="24"/>
      <c r="AH709" s="24"/>
      <c r="AI709" s="24"/>
      <c r="AJ709" s="25"/>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row>
    <row r="710" spans="12:62" x14ac:dyDescent="0.35">
      <c r="L710" s="202"/>
      <c r="P710" s="202"/>
      <c r="W710" s="24"/>
      <c r="X710" s="24"/>
      <c r="Y710" s="24"/>
      <c r="Z710" s="24"/>
      <c r="AA710" s="24"/>
      <c r="AB710" s="24"/>
      <c r="AC710" s="24"/>
      <c r="AD710" s="24"/>
      <c r="AE710" s="24"/>
      <c r="AF710" s="24"/>
      <c r="AG710" s="24"/>
      <c r="AH710" s="24"/>
      <c r="AI710" s="24"/>
      <c r="AJ710" s="25"/>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c r="BJ710" s="24"/>
    </row>
    <row r="711" spans="12:62" x14ac:dyDescent="0.35">
      <c r="L711" s="202"/>
      <c r="P711" s="202"/>
      <c r="W711" s="24"/>
      <c r="X711" s="24"/>
      <c r="Y711" s="24"/>
      <c r="Z711" s="24"/>
      <c r="AA711" s="24"/>
      <c r="AB711" s="24"/>
      <c r="AC711" s="24"/>
      <c r="AD711" s="24"/>
      <c r="AE711" s="24"/>
      <c r="AF711" s="24"/>
      <c r="AG711" s="24"/>
      <c r="AH711" s="24"/>
      <c r="AI711" s="24"/>
      <c r="AJ711" s="25"/>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row>
    <row r="712" spans="12:62" x14ac:dyDescent="0.35">
      <c r="L712" s="202"/>
      <c r="P712" s="202"/>
      <c r="W712" s="24"/>
      <c r="X712" s="24"/>
      <c r="Y712" s="24"/>
      <c r="Z712" s="24"/>
      <c r="AA712" s="24"/>
      <c r="AB712" s="24"/>
      <c r="AC712" s="24"/>
      <c r="AD712" s="24"/>
      <c r="AE712" s="24"/>
      <c r="AF712" s="24"/>
      <c r="AG712" s="24"/>
      <c r="AH712" s="24"/>
      <c r="AI712" s="24"/>
      <c r="AJ712" s="25"/>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c r="BJ712" s="24"/>
    </row>
    <row r="713" spans="12:62" x14ac:dyDescent="0.35">
      <c r="L713" s="202"/>
      <c r="P713" s="202"/>
      <c r="W713" s="24"/>
      <c r="X713" s="24"/>
      <c r="Y713" s="24"/>
      <c r="Z713" s="24"/>
      <c r="AA713" s="24"/>
      <c r="AB713" s="24"/>
      <c r="AC713" s="24"/>
      <c r="AD713" s="24"/>
      <c r="AE713" s="24"/>
      <c r="AF713" s="24"/>
      <c r="AG713" s="24"/>
      <c r="AH713" s="24"/>
      <c r="AI713" s="24"/>
      <c r="AJ713" s="25"/>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c r="BJ713" s="24"/>
    </row>
    <row r="714" spans="12:62" x14ac:dyDescent="0.35">
      <c r="L714" s="202"/>
      <c r="P714" s="202"/>
      <c r="W714" s="24"/>
      <c r="X714" s="24"/>
      <c r="Y714" s="24"/>
      <c r="Z714" s="24"/>
      <c r="AA714" s="24"/>
      <c r="AB714" s="24"/>
      <c r="AC714" s="24"/>
      <c r="AD714" s="24"/>
      <c r="AE714" s="24"/>
      <c r="AF714" s="24"/>
      <c r="AG714" s="24"/>
      <c r="AH714" s="24"/>
      <c r="AI714" s="24"/>
      <c r="AJ714" s="25"/>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row>
    <row r="715" spans="12:62" x14ac:dyDescent="0.35">
      <c r="L715" s="202"/>
      <c r="P715" s="202"/>
      <c r="W715" s="24"/>
      <c r="X715" s="24"/>
      <c r="Y715" s="24"/>
      <c r="Z715" s="24"/>
      <c r="AA715" s="24"/>
      <c r="AB715" s="24"/>
      <c r="AC715" s="24"/>
      <c r="AD715" s="24"/>
      <c r="AE715" s="24"/>
      <c r="AF715" s="24"/>
      <c r="AG715" s="24"/>
      <c r="AH715" s="24"/>
      <c r="AI715" s="24"/>
      <c r="AJ715" s="25"/>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c r="BJ715" s="24"/>
    </row>
    <row r="716" spans="12:62" x14ac:dyDescent="0.35">
      <c r="L716" s="202"/>
      <c r="P716" s="202"/>
      <c r="W716" s="24"/>
      <c r="X716" s="24"/>
      <c r="Y716" s="24"/>
      <c r="Z716" s="24"/>
      <c r="AA716" s="24"/>
      <c r="AB716" s="24"/>
      <c r="AC716" s="24"/>
      <c r="AD716" s="24"/>
      <c r="AE716" s="24"/>
      <c r="AF716" s="24"/>
      <c r="AG716" s="24"/>
      <c r="AH716" s="24"/>
      <c r="AI716" s="24"/>
      <c r="AJ716" s="25"/>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c r="BH716" s="24"/>
      <c r="BI716" s="24"/>
      <c r="BJ716" s="24"/>
    </row>
    <row r="717" spans="12:62" x14ac:dyDescent="0.35">
      <c r="L717" s="202"/>
      <c r="P717" s="202"/>
      <c r="W717" s="24"/>
      <c r="X717" s="24"/>
      <c r="Y717" s="24"/>
      <c r="Z717" s="24"/>
      <c r="AA717" s="24"/>
      <c r="AB717" s="24"/>
      <c r="AC717" s="24"/>
      <c r="AD717" s="24"/>
      <c r="AE717" s="24"/>
      <c r="AF717" s="24"/>
      <c r="AG717" s="24"/>
      <c r="AH717" s="24"/>
      <c r="AI717" s="24"/>
      <c r="AJ717" s="25"/>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c r="BJ717" s="24"/>
    </row>
    <row r="718" spans="12:62" x14ac:dyDescent="0.35">
      <c r="L718" s="202"/>
      <c r="P718" s="202"/>
      <c r="W718" s="24"/>
      <c r="X718" s="24"/>
      <c r="Y718" s="24"/>
      <c r="Z718" s="24"/>
      <c r="AA718" s="24"/>
      <c r="AB718" s="24"/>
      <c r="AC718" s="24"/>
      <c r="AD718" s="24"/>
      <c r="AE718" s="24"/>
      <c r="AF718" s="24"/>
      <c r="AG718" s="24"/>
      <c r="AH718" s="24"/>
      <c r="AI718" s="24"/>
      <c r="AJ718" s="25"/>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c r="BJ718" s="24"/>
    </row>
    <row r="719" spans="12:62" x14ac:dyDescent="0.35">
      <c r="L719" s="202"/>
      <c r="P719" s="202"/>
      <c r="W719" s="24"/>
      <c r="X719" s="24"/>
      <c r="Y719" s="24"/>
      <c r="Z719" s="24"/>
      <c r="AA719" s="24"/>
      <c r="AB719" s="24"/>
      <c r="AC719" s="24"/>
      <c r="AD719" s="24"/>
      <c r="AE719" s="24"/>
      <c r="AF719" s="24"/>
      <c r="AG719" s="24"/>
      <c r="AH719" s="24"/>
      <c r="AI719" s="24"/>
      <c r="AJ719" s="25"/>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c r="BJ719" s="24"/>
    </row>
    <row r="720" spans="12:62" x14ac:dyDescent="0.35">
      <c r="L720" s="202"/>
      <c r="P720" s="202"/>
      <c r="W720" s="24"/>
      <c r="X720" s="24"/>
      <c r="Y720" s="24"/>
      <c r="Z720" s="24"/>
      <c r="AA720" s="24"/>
      <c r="AB720" s="24"/>
      <c r="AC720" s="24"/>
      <c r="AD720" s="24"/>
      <c r="AE720" s="24"/>
      <c r="AF720" s="24"/>
      <c r="AG720" s="24"/>
      <c r="AH720" s="24"/>
      <c r="AI720" s="24"/>
      <c r="AJ720" s="25"/>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c r="BH720" s="24"/>
      <c r="BI720" s="24"/>
      <c r="BJ720" s="24"/>
    </row>
    <row r="721" spans="12:62" x14ac:dyDescent="0.35">
      <c r="L721" s="202"/>
      <c r="P721" s="202"/>
      <c r="W721" s="24"/>
      <c r="X721" s="24"/>
      <c r="Y721" s="24"/>
      <c r="Z721" s="24"/>
      <c r="AA721" s="24"/>
      <c r="AB721" s="24"/>
      <c r="AC721" s="24"/>
      <c r="AD721" s="24"/>
      <c r="AE721" s="24"/>
      <c r="AF721" s="24"/>
      <c r="AG721" s="24"/>
      <c r="AH721" s="24"/>
      <c r="AI721" s="24"/>
      <c r="AJ721" s="25"/>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c r="BJ721" s="24"/>
    </row>
    <row r="722" spans="12:62" x14ac:dyDescent="0.35">
      <c r="L722" s="202"/>
      <c r="P722" s="202"/>
      <c r="W722" s="24"/>
      <c r="X722" s="24"/>
      <c r="Y722" s="24"/>
      <c r="Z722" s="24"/>
      <c r="AA722" s="24"/>
      <c r="AB722" s="24"/>
      <c r="AC722" s="24"/>
      <c r="AD722" s="24"/>
      <c r="AE722" s="24"/>
      <c r="AF722" s="24"/>
      <c r="AG722" s="24"/>
      <c r="AH722" s="24"/>
      <c r="AI722" s="24"/>
      <c r="AJ722" s="25"/>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c r="BH722" s="24"/>
      <c r="BI722" s="24"/>
      <c r="BJ722" s="24"/>
    </row>
    <row r="723" spans="12:62" x14ac:dyDescent="0.35">
      <c r="L723" s="202"/>
      <c r="P723" s="202"/>
      <c r="W723" s="24"/>
      <c r="X723" s="24"/>
      <c r="Y723" s="24"/>
      <c r="Z723" s="24"/>
      <c r="AA723" s="24"/>
      <c r="AB723" s="24"/>
      <c r="AC723" s="24"/>
      <c r="AD723" s="24"/>
      <c r="AE723" s="24"/>
      <c r="AF723" s="24"/>
      <c r="AG723" s="24"/>
      <c r="AH723" s="24"/>
      <c r="AI723" s="24"/>
      <c r="AJ723" s="25"/>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c r="BJ723" s="24"/>
    </row>
    <row r="724" spans="12:62" x14ac:dyDescent="0.35">
      <c r="L724" s="202"/>
      <c r="P724" s="202"/>
      <c r="W724" s="24"/>
      <c r="X724" s="24"/>
      <c r="Y724" s="24"/>
      <c r="Z724" s="24"/>
      <c r="AA724" s="24"/>
      <c r="AB724" s="24"/>
      <c r="AC724" s="24"/>
      <c r="AD724" s="24"/>
      <c r="AE724" s="24"/>
      <c r="AF724" s="24"/>
      <c r="AG724" s="24"/>
      <c r="AH724" s="24"/>
      <c r="AI724" s="24"/>
      <c r="AJ724" s="25"/>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c r="BH724" s="24"/>
      <c r="BI724" s="24"/>
      <c r="BJ724" s="24"/>
    </row>
    <row r="725" spans="12:62" x14ac:dyDescent="0.35">
      <c r="L725" s="202"/>
      <c r="P725" s="202"/>
      <c r="W725" s="24"/>
      <c r="X725" s="24"/>
      <c r="Y725" s="24"/>
      <c r="Z725" s="24"/>
      <c r="AA725" s="24"/>
      <c r="AB725" s="24"/>
      <c r="AC725" s="24"/>
      <c r="AD725" s="24"/>
      <c r="AE725" s="24"/>
      <c r="AF725" s="24"/>
      <c r="AG725" s="24"/>
      <c r="AH725" s="24"/>
      <c r="AI725" s="24"/>
      <c r="AJ725" s="25"/>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c r="BJ725" s="24"/>
    </row>
    <row r="726" spans="12:62" x14ac:dyDescent="0.35">
      <c r="L726" s="202"/>
      <c r="P726" s="202"/>
      <c r="W726" s="24"/>
      <c r="X726" s="24"/>
      <c r="Y726" s="24"/>
      <c r="Z726" s="24"/>
      <c r="AA726" s="24"/>
      <c r="AB726" s="24"/>
      <c r="AC726" s="24"/>
      <c r="AD726" s="24"/>
      <c r="AE726" s="24"/>
      <c r="AF726" s="24"/>
      <c r="AG726" s="24"/>
      <c r="AH726" s="24"/>
      <c r="AI726" s="24"/>
      <c r="AJ726" s="25"/>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c r="BJ726" s="24"/>
    </row>
    <row r="727" spans="12:62" x14ac:dyDescent="0.35">
      <c r="L727" s="202"/>
      <c r="P727" s="202"/>
      <c r="W727" s="24"/>
      <c r="X727" s="24"/>
      <c r="Y727" s="24"/>
      <c r="Z727" s="24"/>
      <c r="AA727" s="24"/>
      <c r="AB727" s="24"/>
      <c r="AC727" s="24"/>
      <c r="AD727" s="24"/>
      <c r="AE727" s="24"/>
      <c r="AF727" s="24"/>
      <c r="AG727" s="24"/>
      <c r="AH727" s="24"/>
      <c r="AI727" s="24"/>
      <c r="AJ727" s="25"/>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c r="BJ727" s="24"/>
    </row>
    <row r="728" spans="12:62" x14ac:dyDescent="0.35">
      <c r="L728" s="202"/>
      <c r="P728" s="202"/>
      <c r="W728" s="24"/>
      <c r="X728" s="24"/>
      <c r="Y728" s="24"/>
      <c r="Z728" s="24"/>
      <c r="AA728" s="24"/>
      <c r="AB728" s="24"/>
      <c r="AC728" s="24"/>
      <c r="AD728" s="24"/>
      <c r="AE728" s="24"/>
      <c r="AF728" s="24"/>
      <c r="AG728" s="24"/>
      <c r="AH728" s="24"/>
      <c r="AI728" s="24"/>
      <c r="AJ728" s="25"/>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c r="BH728" s="24"/>
      <c r="BI728" s="24"/>
      <c r="BJ728" s="24"/>
    </row>
    <row r="729" spans="12:62" x14ac:dyDescent="0.35">
      <c r="L729" s="202"/>
      <c r="P729" s="202"/>
      <c r="W729" s="24"/>
      <c r="X729" s="24"/>
      <c r="Y729" s="24"/>
      <c r="Z729" s="24"/>
      <c r="AA729" s="24"/>
      <c r="AB729" s="24"/>
      <c r="AC729" s="24"/>
      <c r="AD729" s="24"/>
      <c r="AE729" s="24"/>
      <c r="AF729" s="24"/>
      <c r="AG729" s="24"/>
      <c r="AH729" s="24"/>
      <c r="AI729" s="24"/>
      <c r="AJ729" s="25"/>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c r="BJ729" s="24"/>
    </row>
    <row r="730" spans="12:62" x14ac:dyDescent="0.35">
      <c r="L730" s="202"/>
      <c r="P730" s="202"/>
      <c r="W730" s="24"/>
      <c r="X730" s="24"/>
      <c r="Y730" s="24"/>
      <c r="Z730" s="24"/>
      <c r="AA730" s="24"/>
      <c r="AB730" s="24"/>
      <c r="AC730" s="24"/>
      <c r="AD730" s="24"/>
      <c r="AE730" s="24"/>
      <c r="AF730" s="24"/>
      <c r="AG730" s="24"/>
      <c r="AH730" s="24"/>
      <c r="AI730" s="24"/>
      <c r="AJ730" s="25"/>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c r="BJ730" s="24"/>
    </row>
    <row r="731" spans="12:62" x14ac:dyDescent="0.35">
      <c r="L731" s="202"/>
      <c r="P731" s="202"/>
      <c r="W731" s="24"/>
      <c r="X731" s="24"/>
      <c r="Y731" s="24"/>
      <c r="Z731" s="24"/>
      <c r="AA731" s="24"/>
      <c r="AB731" s="24"/>
      <c r="AC731" s="24"/>
      <c r="AD731" s="24"/>
      <c r="AE731" s="24"/>
      <c r="AF731" s="24"/>
      <c r="AG731" s="24"/>
      <c r="AH731" s="24"/>
      <c r="AI731" s="24"/>
      <c r="AJ731" s="25"/>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c r="BJ731" s="24"/>
    </row>
    <row r="732" spans="12:62" x14ac:dyDescent="0.35">
      <c r="L732" s="202"/>
      <c r="P732" s="202"/>
      <c r="W732" s="24"/>
      <c r="X732" s="24"/>
      <c r="Y732" s="24"/>
      <c r="Z732" s="24"/>
      <c r="AA732" s="24"/>
      <c r="AB732" s="24"/>
      <c r="AC732" s="24"/>
      <c r="AD732" s="24"/>
      <c r="AE732" s="24"/>
      <c r="AF732" s="24"/>
      <c r="AG732" s="24"/>
      <c r="AH732" s="24"/>
      <c r="AI732" s="24"/>
      <c r="AJ732" s="25"/>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c r="BJ732" s="24"/>
    </row>
    <row r="733" spans="12:62" x14ac:dyDescent="0.35">
      <c r="L733" s="202"/>
      <c r="P733" s="202"/>
      <c r="W733" s="24"/>
      <c r="X733" s="24"/>
      <c r="Y733" s="24"/>
      <c r="Z733" s="24"/>
      <c r="AA733" s="24"/>
      <c r="AB733" s="24"/>
      <c r="AC733" s="24"/>
      <c r="AD733" s="24"/>
      <c r="AE733" s="24"/>
      <c r="AF733" s="24"/>
      <c r="AG733" s="24"/>
      <c r="AH733" s="24"/>
      <c r="AI733" s="24"/>
      <c r="AJ733" s="25"/>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c r="BJ733" s="24"/>
    </row>
    <row r="734" spans="12:62" x14ac:dyDescent="0.35">
      <c r="L734" s="202"/>
      <c r="P734" s="202"/>
      <c r="W734" s="24"/>
      <c r="X734" s="24"/>
      <c r="Y734" s="24"/>
      <c r="Z734" s="24"/>
      <c r="AA734" s="24"/>
      <c r="AB734" s="24"/>
      <c r="AC734" s="24"/>
      <c r="AD734" s="24"/>
      <c r="AE734" s="24"/>
      <c r="AF734" s="24"/>
      <c r="AG734" s="24"/>
      <c r="AH734" s="24"/>
      <c r="AI734" s="24"/>
      <c r="AJ734" s="25"/>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c r="BJ734" s="24"/>
    </row>
    <row r="735" spans="12:62" x14ac:dyDescent="0.35">
      <c r="L735" s="202"/>
      <c r="P735" s="202"/>
      <c r="W735" s="24"/>
      <c r="X735" s="24"/>
      <c r="Y735" s="24"/>
      <c r="Z735" s="24"/>
      <c r="AA735" s="24"/>
      <c r="AB735" s="24"/>
      <c r="AC735" s="24"/>
      <c r="AD735" s="24"/>
      <c r="AE735" s="24"/>
      <c r="AF735" s="24"/>
      <c r="AG735" s="24"/>
      <c r="AH735" s="24"/>
      <c r="AI735" s="24"/>
      <c r="AJ735" s="25"/>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c r="BJ735" s="24"/>
    </row>
    <row r="736" spans="12:62" x14ac:dyDescent="0.35">
      <c r="L736" s="202"/>
      <c r="P736" s="202"/>
      <c r="W736" s="24"/>
      <c r="X736" s="24"/>
      <c r="Y736" s="24"/>
      <c r="Z736" s="24"/>
      <c r="AA736" s="24"/>
      <c r="AB736" s="24"/>
      <c r="AC736" s="24"/>
      <c r="AD736" s="24"/>
      <c r="AE736" s="24"/>
      <c r="AF736" s="24"/>
      <c r="AG736" s="24"/>
      <c r="AH736" s="24"/>
      <c r="AI736" s="24"/>
      <c r="AJ736" s="25"/>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c r="BH736" s="24"/>
      <c r="BI736" s="24"/>
      <c r="BJ736" s="24"/>
    </row>
    <row r="737" spans="12:62" x14ac:dyDescent="0.35">
      <c r="L737" s="202"/>
      <c r="P737" s="202"/>
      <c r="W737" s="24"/>
      <c r="X737" s="24"/>
      <c r="Y737" s="24"/>
      <c r="Z737" s="24"/>
      <c r="AA737" s="24"/>
      <c r="AB737" s="24"/>
      <c r="AC737" s="24"/>
      <c r="AD737" s="24"/>
      <c r="AE737" s="24"/>
      <c r="AF737" s="24"/>
      <c r="AG737" s="24"/>
      <c r="AH737" s="24"/>
      <c r="AI737" s="24"/>
      <c r="AJ737" s="25"/>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c r="BJ737" s="24"/>
    </row>
    <row r="738" spans="12:62" x14ac:dyDescent="0.35">
      <c r="L738" s="202"/>
      <c r="P738" s="202"/>
      <c r="W738" s="24"/>
      <c r="X738" s="24"/>
      <c r="Y738" s="24"/>
      <c r="Z738" s="24"/>
      <c r="AA738" s="24"/>
      <c r="AB738" s="24"/>
      <c r="AC738" s="24"/>
      <c r="AD738" s="24"/>
      <c r="AE738" s="24"/>
      <c r="AF738" s="24"/>
      <c r="AG738" s="24"/>
      <c r="AH738" s="24"/>
      <c r="AI738" s="24"/>
      <c r="AJ738" s="25"/>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c r="BH738" s="24"/>
      <c r="BI738" s="24"/>
      <c r="BJ738" s="24"/>
    </row>
    <row r="739" spans="12:62" x14ac:dyDescent="0.35">
      <c r="L739" s="202"/>
      <c r="P739" s="202"/>
      <c r="W739" s="24"/>
      <c r="X739" s="24"/>
      <c r="Y739" s="24"/>
      <c r="Z739" s="24"/>
      <c r="AA739" s="24"/>
      <c r="AB739" s="24"/>
      <c r="AC739" s="24"/>
      <c r="AD739" s="24"/>
      <c r="AE739" s="24"/>
      <c r="AF739" s="24"/>
      <c r="AG739" s="24"/>
      <c r="AH739" s="24"/>
      <c r="AI739" s="24"/>
      <c r="AJ739" s="25"/>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row>
    <row r="740" spans="12:62" x14ac:dyDescent="0.35">
      <c r="L740" s="202"/>
      <c r="P740" s="202"/>
      <c r="W740" s="24"/>
      <c r="X740" s="24"/>
      <c r="Y740" s="24"/>
      <c r="Z740" s="24"/>
      <c r="AA740" s="24"/>
      <c r="AB740" s="24"/>
      <c r="AC740" s="24"/>
      <c r="AD740" s="24"/>
      <c r="AE740" s="24"/>
      <c r="AF740" s="24"/>
      <c r="AG740" s="24"/>
      <c r="AH740" s="24"/>
      <c r="AI740" s="24"/>
      <c r="AJ740" s="25"/>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c r="BH740" s="24"/>
      <c r="BI740" s="24"/>
      <c r="BJ740" s="24"/>
    </row>
    <row r="741" spans="12:62" x14ac:dyDescent="0.35">
      <c r="L741" s="202"/>
      <c r="P741" s="202"/>
      <c r="W741" s="24"/>
      <c r="X741" s="24"/>
      <c r="Y741" s="24"/>
      <c r="Z741" s="24"/>
      <c r="AA741" s="24"/>
      <c r="AB741" s="24"/>
      <c r="AC741" s="24"/>
      <c r="AD741" s="24"/>
      <c r="AE741" s="24"/>
      <c r="AF741" s="24"/>
      <c r="AG741" s="24"/>
      <c r="AH741" s="24"/>
      <c r="AI741" s="24"/>
      <c r="AJ741" s="25"/>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c r="BJ741" s="24"/>
    </row>
    <row r="742" spans="12:62" x14ac:dyDescent="0.35">
      <c r="L742" s="202"/>
      <c r="P742" s="202"/>
      <c r="W742" s="24"/>
      <c r="X742" s="24"/>
      <c r="Y742" s="24"/>
      <c r="Z742" s="24"/>
      <c r="AA742" s="24"/>
      <c r="AB742" s="24"/>
      <c r="AC742" s="24"/>
      <c r="AD742" s="24"/>
      <c r="AE742" s="24"/>
      <c r="AF742" s="24"/>
      <c r="AG742" s="24"/>
      <c r="AH742" s="24"/>
      <c r="AI742" s="24"/>
      <c r="AJ742" s="25"/>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c r="BJ742" s="24"/>
    </row>
    <row r="743" spans="12:62" x14ac:dyDescent="0.35">
      <c r="L743" s="202"/>
      <c r="P743" s="202"/>
      <c r="W743" s="24"/>
      <c r="X743" s="24"/>
      <c r="Y743" s="24"/>
      <c r="Z743" s="24"/>
      <c r="AA743" s="24"/>
      <c r="AB743" s="24"/>
      <c r="AC743" s="24"/>
      <c r="AD743" s="24"/>
      <c r="AE743" s="24"/>
      <c r="AF743" s="24"/>
      <c r="AG743" s="24"/>
      <c r="AH743" s="24"/>
      <c r="AI743" s="24"/>
      <c r="AJ743" s="25"/>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c r="BJ743" s="24"/>
    </row>
    <row r="744" spans="12:62" x14ac:dyDescent="0.35">
      <c r="L744" s="202"/>
      <c r="P744" s="202"/>
      <c r="W744" s="24"/>
      <c r="X744" s="24"/>
      <c r="Y744" s="24"/>
      <c r="Z744" s="24"/>
      <c r="AA744" s="24"/>
      <c r="AB744" s="24"/>
      <c r="AC744" s="24"/>
      <c r="AD744" s="24"/>
      <c r="AE744" s="24"/>
      <c r="AF744" s="24"/>
      <c r="AG744" s="24"/>
      <c r="AH744" s="24"/>
      <c r="AI744" s="24"/>
      <c r="AJ744" s="25"/>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c r="BH744" s="24"/>
      <c r="BI744" s="24"/>
      <c r="BJ744" s="24"/>
    </row>
    <row r="745" spans="12:62" x14ac:dyDescent="0.35">
      <c r="L745" s="202"/>
      <c r="P745" s="202"/>
      <c r="W745" s="24"/>
      <c r="X745" s="24"/>
      <c r="Y745" s="24"/>
      <c r="Z745" s="24"/>
      <c r="AA745" s="24"/>
      <c r="AB745" s="24"/>
      <c r="AC745" s="24"/>
      <c r="AD745" s="24"/>
      <c r="AE745" s="24"/>
      <c r="AF745" s="24"/>
      <c r="AG745" s="24"/>
      <c r="AH745" s="24"/>
      <c r="AI745" s="24"/>
      <c r="AJ745" s="25"/>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c r="BJ745" s="24"/>
    </row>
    <row r="746" spans="12:62" x14ac:dyDescent="0.35">
      <c r="L746" s="202"/>
      <c r="P746" s="202"/>
      <c r="W746" s="24"/>
      <c r="X746" s="24"/>
      <c r="Y746" s="24"/>
      <c r="Z746" s="24"/>
      <c r="AA746" s="24"/>
      <c r="AB746" s="24"/>
      <c r="AC746" s="24"/>
      <c r="AD746" s="24"/>
      <c r="AE746" s="24"/>
      <c r="AF746" s="24"/>
      <c r="AG746" s="24"/>
      <c r="AH746" s="24"/>
      <c r="AI746" s="24"/>
      <c r="AJ746" s="25"/>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c r="BH746" s="24"/>
      <c r="BI746" s="24"/>
      <c r="BJ746" s="24"/>
    </row>
    <row r="747" spans="12:62" x14ac:dyDescent="0.35">
      <c r="L747" s="202"/>
      <c r="P747" s="202"/>
      <c r="W747" s="24"/>
      <c r="X747" s="24"/>
      <c r="Y747" s="24"/>
      <c r="Z747" s="24"/>
      <c r="AA747" s="24"/>
      <c r="AB747" s="24"/>
      <c r="AC747" s="24"/>
      <c r="AD747" s="24"/>
      <c r="AE747" s="24"/>
      <c r="AF747" s="24"/>
      <c r="AG747" s="24"/>
      <c r="AH747" s="24"/>
      <c r="AI747" s="24"/>
      <c r="AJ747" s="25"/>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c r="BJ747" s="24"/>
    </row>
    <row r="748" spans="12:62" x14ac:dyDescent="0.35">
      <c r="L748" s="202"/>
      <c r="P748" s="202"/>
      <c r="W748" s="24"/>
      <c r="X748" s="24"/>
      <c r="Y748" s="24"/>
      <c r="Z748" s="24"/>
      <c r="AA748" s="24"/>
      <c r="AB748" s="24"/>
      <c r="AC748" s="24"/>
      <c r="AD748" s="24"/>
      <c r="AE748" s="24"/>
      <c r="AF748" s="24"/>
      <c r="AG748" s="24"/>
      <c r="AH748" s="24"/>
      <c r="AI748" s="24"/>
      <c r="AJ748" s="25"/>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c r="BH748" s="24"/>
      <c r="BI748" s="24"/>
      <c r="BJ748" s="24"/>
    </row>
    <row r="749" spans="12:62" x14ac:dyDescent="0.35">
      <c r="L749" s="202"/>
      <c r="P749" s="202"/>
      <c r="W749" s="24"/>
      <c r="X749" s="24"/>
      <c r="Y749" s="24"/>
      <c r="Z749" s="24"/>
      <c r="AA749" s="24"/>
      <c r="AB749" s="24"/>
      <c r="AC749" s="24"/>
      <c r="AD749" s="24"/>
      <c r="AE749" s="24"/>
      <c r="AF749" s="24"/>
      <c r="AG749" s="24"/>
      <c r="AH749" s="24"/>
      <c r="AI749" s="24"/>
      <c r="AJ749" s="25"/>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c r="BJ749" s="24"/>
    </row>
    <row r="750" spans="12:62" x14ac:dyDescent="0.35">
      <c r="L750" s="202"/>
      <c r="P750" s="202"/>
      <c r="W750" s="24"/>
      <c r="X750" s="24"/>
      <c r="Y750" s="24"/>
      <c r="Z750" s="24"/>
      <c r="AA750" s="24"/>
      <c r="AB750" s="24"/>
      <c r="AC750" s="24"/>
      <c r="AD750" s="24"/>
      <c r="AE750" s="24"/>
      <c r="AF750" s="24"/>
      <c r="AG750" s="24"/>
      <c r="AH750" s="24"/>
      <c r="AI750" s="24"/>
      <c r="AJ750" s="25"/>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c r="BJ750" s="24"/>
    </row>
    <row r="751" spans="12:62" x14ac:dyDescent="0.35">
      <c r="L751" s="202"/>
      <c r="P751" s="202"/>
      <c r="W751" s="24"/>
      <c r="X751" s="24"/>
      <c r="Y751" s="24"/>
      <c r="Z751" s="24"/>
      <c r="AA751" s="24"/>
      <c r="AB751" s="24"/>
      <c r="AC751" s="24"/>
      <c r="AD751" s="24"/>
      <c r="AE751" s="24"/>
      <c r="AF751" s="24"/>
      <c r="AG751" s="24"/>
      <c r="AH751" s="24"/>
      <c r="AI751" s="24"/>
      <c r="AJ751" s="25"/>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c r="BJ751" s="24"/>
    </row>
    <row r="752" spans="12:62" x14ac:dyDescent="0.35">
      <c r="L752" s="202"/>
      <c r="P752" s="202"/>
      <c r="W752" s="24"/>
      <c r="X752" s="24"/>
      <c r="Y752" s="24"/>
      <c r="Z752" s="24"/>
      <c r="AA752" s="24"/>
      <c r="AB752" s="24"/>
      <c r="AC752" s="24"/>
      <c r="AD752" s="24"/>
      <c r="AE752" s="24"/>
      <c r="AF752" s="24"/>
      <c r="AG752" s="24"/>
      <c r="AH752" s="24"/>
      <c r="AI752" s="24"/>
      <c r="AJ752" s="25"/>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c r="BH752" s="24"/>
      <c r="BI752" s="24"/>
      <c r="BJ752" s="24"/>
    </row>
    <row r="753" spans="12:62" x14ac:dyDescent="0.35">
      <c r="L753" s="202"/>
      <c r="P753" s="202"/>
      <c r="W753" s="24"/>
      <c r="X753" s="24"/>
      <c r="Y753" s="24"/>
      <c r="Z753" s="24"/>
      <c r="AA753" s="24"/>
      <c r="AB753" s="24"/>
      <c r="AC753" s="24"/>
      <c r="AD753" s="24"/>
      <c r="AE753" s="24"/>
      <c r="AF753" s="24"/>
      <c r="AG753" s="24"/>
      <c r="AH753" s="24"/>
      <c r="AI753" s="24"/>
      <c r="AJ753" s="25"/>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c r="BJ753" s="24"/>
    </row>
    <row r="754" spans="12:62" x14ac:dyDescent="0.35">
      <c r="L754" s="202"/>
      <c r="P754" s="202"/>
      <c r="W754" s="24"/>
      <c r="X754" s="24"/>
      <c r="Y754" s="24"/>
      <c r="Z754" s="24"/>
      <c r="AA754" s="24"/>
      <c r="AB754" s="24"/>
      <c r="AC754" s="24"/>
      <c r="AD754" s="24"/>
      <c r="AE754" s="24"/>
      <c r="AF754" s="24"/>
      <c r="AG754" s="24"/>
      <c r="AH754" s="24"/>
      <c r="AI754" s="24"/>
      <c r="AJ754" s="25"/>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c r="BJ754" s="24"/>
    </row>
    <row r="755" spans="12:62" x14ac:dyDescent="0.35">
      <c r="L755" s="202"/>
      <c r="P755" s="202"/>
      <c r="W755" s="24"/>
      <c r="X755" s="24"/>
      <c r="Y755" s="24"/>
      <c r="Z755" s="24"/>
      <c r="AA755" s="24"/>
      <c r="AB755" s="24"/>
      <c r="AC755" s="24"/>
      <c r="AD755" s="24"/>
      <c r="AE755" s="24"/>
      <c r="AF755" s="24"/>
      <c r="AG755" s="24"/>
      <c r="AH755" s="24"/>
      <c r="AI755" s="24"/>
      <c r="AJ755" s="25"/>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c r="BJ755" s="24"/>
    </row>
    <row r="756" spans="12:62" x14ac:dyDescent="0.35">
      <c r="L756" s="202"/>
      <c r="P756" s="202"/>
      <c r="W756" s="24"/>
      <c r="X756" s="24"/>
      <c r="Y756" s="24"/>
      <c r="Z756" s="24"/>
      <c r="AA756" s="24"/>
      <c r="AB756" s="24"/>
      <c r="AC756" s="24"/>
      <c r="AD756" s="24"/>
      <c r="AE756" s="24"/>
      <c r="AF756" s="24"/>
      <c r="AG756" s="24"/>
      <c r="AH756" s="24"/>
      <c r="AI756" s="24"/>
      <c r="AJ756" s="25"/>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c r="BJ756" s="24"/>
    </row>
    <row r="757" spans="12:62" x14ac:dyDescent="0.35">
      <c r="L757" s="202"/>
      <c r="P757" s="202"/>
      <c r="W757" s="24"/>
      <c r="X757" s="24"/>
      <c r="Y757" s="24"/>
      <c r="Z757" s="24"/>
      <c r="AA757" s="24"/>
      <c r="AB757" s="24"/>
      <c r="AC757" s="24"/>
      <c r="AD757" s="24"/>
      <c r="AE757" s="24"/>
      <c r="AF757" s="24"/>
      <c r="AG757" s="24"/>
      <c r="AH757" s="24"/>
      <c r="AI757" s="24"/>
      <c r="AJ757" s="25"/>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c r="BJ757" s="24"/>
    </row>
    <row r="758" spans="12:62" x14ac:dyDescent="0.35">
      <c r="L758" s="202"/>
      <c r="P758" s="202"/>
      <c r="W758" s="24"/>
      <c r="X758" s="24"/>
      <c r="Y758" s="24"/>
      <c r="Z758" s="24"/>
      <c r="AA758" s="24"/>
      <c r="AB758" s="24"/>
      <c r="AC758" s="24"/>
      <c r="AD758" s="24"/>
      <c r="AE758" s="24"/>
      <c r="AF758" s="24"/>
      <c r="AG758" s="24"/>
      <c r="AH758" s="24"/>
      <c r="AI758" s="24"/>
      <c r="AJ758" s="25"/>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c r="BJ758" s="24"/>
    </row>
    <row r="759" spans="12:62" x14ac:dyDescent="0.35">
      <c r="L759" s="202"/>
      <c r="P759" s="202"/>
      <c r="W759" s="24"/>
      <c r="X759" s="24"/>
      <c r="Y759" s="24"/>
      <c r="Z759" s="24"/>
      <c r="AA759" s="24"/>
      <c r="AB759" s="24"/>
      <c r="AC759" s="24"/>
      <c r="AD759" s="24"/>
      <c r="AE759" s="24"/>
      <c r="AF759" s="24"/>
      <c r="AG759" s="24"/>
      <c r="AH759" s="24"/>
      <c r="AI759" s="24"/>
      <c r="AJ759" s="25"/>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c r="BJ759" s="24"/>
    </row>
    <row r="760" spans="12:62" x14ac:dyDescent="0.35">
      <c r="L760" s="202"/>
      <c r="P760" s="202"/>
      <c r="W760" s="24"/>
      <c r="X760" s="24"/>
      <c r="Y760" s="24"/>
      <c r="Z760" s="24"/>
      <c r="AA760" s="24"/>
      <c r="AB760" s="24"/>
      <c r="AC760" s="24"/>
      <c r="AD760" s="24"/>
      <c r="AE760" s="24"/>
      <c r="AF760" s="24"/>
      <c r="AG760" s="24"/>
      <c r="AH760" s="24"/>
      <c r="AI760" s="24"/>
      <c r="AJ760" s="25"/>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c r="BJ760" s="24"/>
    </row>
    <row r="761" spans="12:62" x14ac:dyDescent="0.35">
      <c r="L761" s="202"/>
      <c r="P761" s="202"/>
      <c r="W761" s="24"/>
      <c r="X761" s="24"/>
      <c r="Y761" s="24"/>
      <c r="Z761" s="24"/>
      <c r="AA761" s="24"/>
      <c r="AB761" s="24"/>
      <c r="AC761" s="24"/>
      <c r="AD761" s="24"/>
      <c r="AE761" s="24"/>
      <c r="AF761" s="24"/>
      <c r="AG761" s="24"/>
      <c r="AH761" s="24"/>
      <c r="AI761" s="24"/>
      <c r="AJ761" s="25"/>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c r="BJ761" s="24"/>
    </row>
    <row r="762" spans="12:62" x14ac:dyDescent="0.35">
      <c r="L762" s="202"/>
      <c r="P762" s="202"/>
      <c r="W762" s="24"/>
      <c r="X762" s="24"/>
      <c r="Y762" s="24"/>
      <c r="Z762" s="24"/>
      <c r="AA762" s="24"/>
      <c r="AB762" s="24"/>
      <c r="AC762" s="24"/>
      <c r="AD762" s="24"/>
      <c r="AE762" s="24"/>
      <c r="AF762" s="24"/>
      <c r="AG762" s="24"/>
      <c r="AH762" s="24"/>
      <c r="AI762" s="24"/>
      <c r="AJ762" s="25"/>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c r="BH762" s="24"/>
      <c r="BI762" s="24"/>
      <c r="BJ762" s="24"/>
    </row>
    <row r="763" spans="12:62" x14ac:dyDescent="0.35">
      <c r="L763" s="202"/>
      <c r="P763" s="202"/>
      <c r="W763" s="24"/>
      <c r="X763" s="24"/>
      <c r="Y763" s="24"/>
      <c r="Z763" s="24"/>
      <c r="AA763" s="24"/>
      <c r="AB763" s="24"/>
      <c r="AC763" s="24"/>
      <c r="AD763" s="24"/>
      <c r="AE763" s="24"/>
      <c r="AF763" s="24"/>
      <c r="AG763" s="24"/>
      <c r="AH763" s="24"/>
      <c r="AI763" s="24"/>
      <c r="AJ763" s="25"/>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row>
    <row r="764" spans="12:62" x14ac:dyDescent="0.35">
      <c r="L764" s="202"/>
      <c r="P764" s="202"/>
      <c r="W764" s="24"/>
      <c r="X764" s="24"/>
      <c r="Y764" s="24"/>
      <c r="Z764" s="24"/>
      <c r="AA764" s="24"/>
      <c r="AB764" s="24"/>
      <c r="AC764" s="24"/>
      <c r="AD764" s="24"/>
      <c r="AE764" s="24"/>
      <c r="AF764" s="24"/>
      <c r="AG764" s="24"/>
      <c r="AH764" s="24"/>
      <c r="AI764" s="24"/>
      <c r="AJ764" s="25"/>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row>
    <row r="765" spans="12:62" x14ac:dyDescent="0.35">
      <c r="L765" s="202"/>
      <c r="P765" s="202"/>
      <c r="W765" s="24"/>
      <c r="X765" s="24"/>
      <c r="Y765" s="24"/>
      <c r="Z765" s="24"/>
      <c r="AA765" s="24"/>
      <c r="AB765" s="24"/>
      <c r="AC765" s="24"/>
      <c r="AD765" s="24"/>
      <c r="AE765" s="24"/>
      <c r="AF765" s="24"/>
      <c r="AG765" s="24"/>
      <c r="AH765" s="24"/>
      <c r="AI765" s="24"/>
      <c r="AJ765" s="25"/>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c r="BJ765" s="24"/>
    </row>
    <row r="766" spans="12:62" x14ac:dyDescent="0.35">
      <c r="L766" s="202"/>
      <c r="P766" s="202"/>
      <c r="W766" s="24"/>
      <c r="X766" s="24"/>
      <c r="Y766" s="24"/>
      <c r="Z766" s="24"/>
      <c r="AA766" s="24"/>
      <c r="AB766" s="24"/>
      <c r="AC766" s="24"/>
      <c r="AD766" s="24"/>
      <c r="AE766" s="24"/>
      <c r="AF766" s="24"/>
      <c r="AG766" s="24"/>
      <c r="AH766" s="24"/>
      <c r="AI766" s="24"/>
      <c r="AJ766" s="25"/>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row>
    <row r="767" spans="12:62" x14ac:dyDescent="0.35">
      <c r="L767" s="202"/>
      <c r="P767" s="202"/>
      <c r="W767" s="24"/>
      <c r="X767" s="24"/>
      <c r="Y767" s="24"/>
      <c r="Z767" s="24"/>
      <c r="AA767" s="24"/>
      <c r="AB767" s="24"/>
      <c r="AC767" s="24"/>
      <c r="AD767" s="24"/>
      <c r="AE767" s="24"/>
      <c r="AF767" s="24"/>
      <c r="AG767" s="24"/>
      <c r="AH767" s="24"/>
      <c r="AI767" s="24"/>
      <c r="AJ767" s="25"/>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c r="BJ767" s="24"/>
    </row>
    <row r="768" spans="12:62" x14ac:dyDescent="0.35">
      <c r="L768" s="202"/>
      <c r="P768" s="202"/>
      <c r="W768" s="24"/>
      <c r="X768" s="24"/>
      <c r="Y768" s="24"/>
      <c r="Z768" s="24"/>
      <c r="AA768" s="24"/>
      <c r="AB768" s="24"/>
      <c r="AC768" s="24"/>
      <c r="AD768" s="24"/>
      <c r="AE768" s="24"/>
      <c r="AF768" s="24"/>
      <c r="AG768" s="24"/>
      <c r="AH768" s="24"/>
      <c r="AI768" s="24"/>
      <c r="AJ768" s="25"/>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c r="BH768" s="24"/>
      <c r="BI768" s="24"/>
      <c r="BJ768" s="24"/>
    </row>
    <row r="769" spans="12:62" x14ac:dyDescent="0.35">
      <c r="L769" s="202"/>
      <c r="P769" s="202"/>
      <c r="W769" s="24"/>
      <c r="X769" s="24"/>
      <c r="Y769" s="24"/>
      <c r="Z769" s="24"/>
      <c r="AA769" s="24"/>
      <c r="AB769" s="24"/>
      <c r="AC769" s="24"/>
      <c r="AD769" s="24"/>
      <c r="AE769" s="24"/>
      <c r="AF769" s="24"/>
      <c r="AG769" s="24"/>
      <c r="AH769" s="24"/>
      <c r="AI769" s="24"/>
      <c r="AJ769" s="25"/>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c r="BJ769" s="24"/>
    </row>
    <row r="770" spans="12:62" x14ac:dyDescent="0.35">
      <c r="L770" s="202"/>
      <c r="P770" s="202"/>
      <c r="W770" s="24"/>
      <c r="X770" s="24"/>
      <c r="Y770" s="24"/>
      <c r="Z770" s="24"/>
      <c r="AA770" s="24"/>
      <c r="AB770" s="24"/>
      <c r="AC770" s="24"/>
      <c r="AD770" s="24"/>
      <c r="AE770" s="24"/>
      <c r="AF770" s="24"/>
      <c r="AG770" s="24"/>
      <c r="AH770" s="24"/>
      <c r="AI770" s="24"/>
      <c r="AJ770" s="25"/>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c r="BH770" s="24"/>
      <c r="BI770" s="24"/>
      <c r="BJ770" s="24"/>
    </row>
    <row r="771" spans="12:62" x14ac:dyDescent="0.35">
      <c r="L771" s="202"/>
      <c r="P771" s="202"/>
      <c r="W771" s="24"/>
      <c r="X771" s="24"/>
      <c r="Y771" s="24"/>
      <c r="Z771" s="24"/>
      <c r="AA771" s="24"/>
      <c r="AB771" s="24"/>
      <c r="AC771" s="24"/>
      <c r="AD771" s="24"/>
      <c r="AE771" s="24"/>
      <c r="AF771" s="24"/>
      <c r="AG771" s="24"/>
      <c r="AH771" s="24"/>
      <c r="AI771" s="24"/>
      <c r="AJ771" s="25"/>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c r="BJ771" s="24"/>
    </row>
    <row r="772" spans="12:62" x14ac:dyDescent="0.35">
      <c r="L772" s="202"/>
      <c r="P772" s="202"/>
      <c r="W772" s="24"/>
      <c r="X772" s="24"/>
      <c r="Y772" s="24"/>
      <c r="Z772" s="24"/>
      <c r="AA772" s="24"/>
      <c r="AB772" s="24"/>
      <c r="AC772" s="24"/>
      <c r="AD772" s="24"/>
      <c r="AE772" s="24"/>
      <c r="AF772" s="24"/>
      <c r="AG772" s="24"/>
      <c r="AH772" s="24"/>
      <c r="AI772" s="24"/>
      <c r="AJ772" s="25"/>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c r="BH772" s="24"/>
      <c r="BI772" s="24"/>
      <c r="BJ772" s="24"/>
    </row>
    <row r="773" spans="12:62" x14ac:dyDescent="0.35">
      <c r="L773" s="202"/>
      <c r="P773" s="202"/>
      <c r="W773" s="24"/>
      <c r="X773" s="24"/>
      <c r="Y773" s="24"/>
      <c r="Z773" s="24"/>
      <c r="AA773" s="24"/>
      <c r="AB773" s="24"/>
      <c r="AC773" s="24"/>
      <c r="AD773" s="24"/>
      <c r="AE773" s="24"/>
      <c r="AF773" s="24"/>
      <c r="AG773" s="24"/>
      <c r="AH773" s="24"/>
      <c r="AI773" s="24"/>
      <c r="AJ773" s="25"/>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c r="BJ773" s="24"/>
    </row>
    <row r="774" spans="12:62" x14ac:dyDescent="0.35">
      <c r="L774" s="202"/>
      <c r="P774" s="202"/>
      <c r="W774" s="24"/>
      <c r="X774" s="24"/>
      <c r="Y774" s="24"/>
      <c r="Z774" s="24"/>
      <c r="AA774" s="24"/>
      <c r="AB774" s="24"/>
      <c r="AC774" s="24"/>
      <c r="AD774" s="24"/>
      <c r="AE774" s="24"/>
      <c r="AF774" s="24"/>
      <c r="AG774" s="24"/>
      <c r="AH774" s="24"/>
      <c r="AI774" s="24"/>
      <c r="AJ774" s="25"/>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c r="BJ774" s="24"/>
    </row>
    <row r="775" spans="12:62" x14ac:dyDescent="0.35">
      <c r="L775" s="202"/>
      <c r="P775" s="202"/>
      <c r="W775" s="24"/>
      <c r="X775" s="24"/>
      <c r="Y775" s="24"/>
      <c r="Z775" s="24"/>
      <c r="AA775" s="24"/>
      <c r="AB775" s="24"/>
      <c r="AC775" s="24"/>
      <c r="AD775" s="24"/>
      <c r="AE775" s="24"/>
      <c r="AF775" s="24"/>
      <c r="AG775" s="24"/>
      <c r="AH775" s="24"/>
      <c r="AI775" s="24"/>
      <c r="AJ775" s="25"/>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c r="BJ775" s="24"/>
    </row>
    <row r="776" spans="12:62" x14ac:dyDescent="0.35">
      <c r="L776" s="202"/>
      <c r="P776" s="202"/>
      <c r="W776" s="24"/>
      <c r="X776" s="24"/>
      <c r="Y776" s="24"/>
      <c r="Z776" s="24"/>
      <c r="AA776" s="24"/>
      <c r="AB776" s="24"/>
      <c r="AC776" s="24"/>
      <c r="AD776" s="24"/>
      <c r="AE776" s="24"/>
      <c r="AF776" s="24"/>
      <c r="AG776" s="24"/>
      <c r="AH776" s="24"/>
      <c r="AI776" s="24"/>
      <c r="AJ776" s="25"/>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c r="BH776" s="24"/>
      <c r="BI776" s="24"/>
      <c r="BJ776" s="24"/>
    </row>
    <row r="777" spans="12:62" x14ac:dyDescent="0.35">
      <c r="L777" s="202"/>
      <c r="P777" s="202"/>
      <c r="W777" s="24"/>
      <c r="X777" s="24"/>
      <c r="Y777" s="24"/>
      <c r="Z777" s="24"/>
      <c r="AA777" s="24"/>
      <c r="AB777" s="24"/>
      <c r="AC777" s="24"/>
      <c r="AD777" s="24"/>
      <c r="AE777" s="24"/>
      <c r="AF777" s="24"/>
      <c r="AG777" s="24"/>
      <c r="AH777" s="24"/>
      <c r="AI777" s="24"/>
      <c r="AJ777" s="25"/>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c r="BJ777" s="24"/>
    </row>
    <row r="778" spans="12:62" x14ac:dyDescent="0.35">
      <c r="L778" s="202"/>
      <c r="P778" s="202"/>
      <c r="W778" s="24"/>
      <c r="X778" s="24"/>
      <c r="Y778" s="24"/>
      <c r="Z778" s="24"/>
      <c r="AA778" s="24"/>
      <c r="AB778" s="24"/>
      <c r="AC778" s="24"/>
      <c r="AD778" s="24"/>
      <c r="AE778" s="24"/>
      <c r="AF778" s="24"/>
      <c r="AG778" s="24"/>
      <c r="AH778" s="24"/>
      <c r="AI778" s="24"/>
      <c r="AJ778" s="25"/>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c r="BH778" s="24"/>
      <c r="BI778" s="24"/>
      <c r="BJ778" s="24"/>
    </row>
    <row r="779" spans="12:62" x14ac:dyDescent="0.35">
      <c r="L779" s="202"/>
      <c r="P779" s="202"/>
      <c r="W779" s="24"/>
      <c r="X779" s="24"/>
      <c r="Y779" s="24"/>
      <c r="Z779" s="24"/>
      <c r="AA779" s="24"/>
      <c r="AB779" s="24"/>
      <c r="AC779" s="24"/>
      <c r="AD779" s="24"/>
      <c r="AE779" s="24"/>
      <c r="AF779" s="24"/>
      <c r="AG779" s="24"/>
      <c r="AH779" s="24"/>
      <c r="AI779" s="24"/>
      <c r="AJ779" s="25"/>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c r="BJ779" s="24"/>
    </row>
    <row r="780" spans="12:62" x14ac:dyDescent="0.35">
      <c r="L780" s="202"/>
      <c r="P780" s="202"/>
      <c r="W780" s="24"/>
      <c r="X780" s="24"/>
      <c r="Y780" s="24"/>
      <c r="Z780" s="24"/>
      <c r="AA780" s="24"/>
      <c r="AB780" s="24"/>
      <c r="AC780" s="24"/>
      <c r="AD780" s="24"/>
      <c r="AE780" s="24"/>
      <c r="AF780" s="24"/>
      <c r="AG780" s="24"/>
      <c r="AH780" s="24"/>
      <c r="AI780" s="24"/>
      <c r="AJ780" s="25"/>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c r="BJ780" s="24"/>
    </row>
    <row r="781" spans="12:62" x14ac:dyDescent="0.35">
      <c r="L781" s="202"/>
      <c r="P781" s="202"/>
      <c r="W781" s="24"/>
      <c r="X781" s="24"/>
      <c r="Y781" s="24"/>
      <c r="Z781" s="24"/>
      <c r="AA781" s="24"/>
      <c r="AB781" s="24"/>
      <c r="AC781" s="24"/>
      <c r="AD781" s="24"/>
      <c r="AE781" s="24"/>
      <c r="AF781" s="24"/>
      <c r="AG781" s="24"/>
      <c r="AH781" s="24"/>
      <c r="AI781" s="24"/>
      <c r="AJ781" s="25"/>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c r="BJ781" s="24"/>
    </row>
    <row r="782" spans="12:62" x14ac:dyDescent="0.35">
      <c r="L782" s="202"/>
      <c r="P782" s="202"/>
      <c r="W782" s="24"/>
      <c r="X782" s="24"/>
      <c r="Y782" s="24"/>
      <c r="Z782" s="24"/>
      <c r="AA782" s="24"/>
      <c r="AB782" s="24"/>
      <c r="AC782" s="24"/>
      <c r="AD782" s="24"/>
      <c r="AE782" s="24"/>
      <c r="AF782" s="24"/>
      <c r="AG782" s="24"/>
      <c r="AH782" s="24"/>
      <c r="AI782" s="24"/>
      <c r="AJ782" s="25"/>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c r="BJ782" s="24"/>
    </row>
    <row r="783" spans="12:62" x14ac:dyDescent="0.35">
      <c r="L783" s="202"/>
      <c r="P783" s="202"/>
      <c r="W783" s="24"/>
      <c r="X783" s="24"/>
      <c r="Y783" s="24"/>
      <c r="Z783" s="24"/>
      <c r="AA783" s="24"/>
      <c r="AB783" s="24"/>
      <c r="AC783" s="24"/>
      <c r="AD783" s="24"/>
      <c r="AE783" s="24"/>
      <c r="AF783" s="24"/>
      <c r="AG783" s="24"/>
      <c r="AH783" s="24"/>
      <c r="AI783" s="24"/>
      <c r="AJ783" s="25"/>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c r="BJ783" s="24"/>
    </row>
    <row r="784" spans="12:62" x14ac:dyDescent="0.35">
      <c r="L784" s="202"/>
      <c r="P784" s="202"/>
      <c r="W784" s="24"/>
      <c r="X784" s="24"/>
      <c r="Y784" s="24"/>
      <c r="Z784" s="24"/>
      <c r="AA784" s="24"/>
      <c r="AB784" s="24"/>
      <c r="AC784" s="24"/>
      <c r="AD784" s="24"/>
      <c r="AE784" s="24"/>
      <c r="AF784" s="24"/>
      <c r="AG784" s="24"/>
      <c r="AH784" s="24"/>
      <c r="AI784" s="24"/>
      <c r="AJ784" s="25"/>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c r="BJ784" s="24"/>
    </row>
    <row r="785" spans="12:62" x14ac:dyDescent="0.35">
      <c r="L785" s="202"/>
      <c r="P785" s="202"/>
      <c r="W785" s="24"/>
      <c r="X785" s="24"/>
      <c r="Y785" s="24"/>
      <c r="Z785" s="24"/>
      <c r="AA785" s="24"/>
      <c r="AB785" s="24"/>
      <c r="AC785" s="24"/>
      <c r="AD785" s="24"/>
      <c r="AE785" s="24"/>
      <c r="AF785" s="24"/>
      <c r="AG785" s="24"/>
      <c r="AH785" s="24"/>
      <c r="AI785" s="24"/>
      <c r="AJ785" s="25"/>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c r="BJ785" s="24"/>
    </row>
    <row r="786" spans="12:62" x14ac:dyDescent="0.35">
      <c r="L786" s="202"/>
      <c r="P786" s="202"/>
      <c r="W786" s="24"/>
      <c r="X786" s="24"/>
      <c r="Y786" s="24"/>
      <c r="Z786" s="24"/>
      <c r="AA786" s="24"/>
      <c r="AB786" s="24"/>
      <c r="AC786" s="24"/>
      <c r="AD786" s="24"/>
      <c r="AE786" s="24"/>
      <c r="AF786" s="24"/>
      <c r="AG786" s="24"/>
      <c r="AH786" s="24"/>
      <c r="AI786" s="24"/>
      <c r="AJ786" s="25"/>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c r="BH786" s="24"/>
      <c r="BI786" s="24"/>
      <c r="BJ786" s="24"/>
    </row>
    <row r="787" spans="12:62" x14ac:dyDescent="0.35">
      <c r="L787" s="202"/>
      <c r="P787" s="202"/>
      <c r="W787" s="24"/>
      <c r="X787" s="24"/>
      <c r="Y787" s="24"/>
      <c r="Z787" s="24"/>
      <c r="AA787" s="24"/>
      <c r="AB787" s="24"/>
      <c r="AC787" s="24"/>
      <c r="AD787" s="24"/>
      <c r="AE787" s="24"/>
      <c r="AF787" s="24"/>
      <c r="AG787" s="24"/>
      <c r="AH787" s="24"/>
      <c r="AI787" s="24"/>
      <c r="AJ787" s="25"/>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c r="BJ787" s="24"/>
    </row>
    <row r="788" spans="12:62" x14ac:dyDescent="0.35">
      <c r="L788" s="202"/>
      <c r="P788" s="202"/>
      <c r="W788" s="24"/>
      <c r="X788" s="24"/>
      <c r="Y788" s="24"/>
      <c r="Z788" s="24"/>
      <c r="AA788" s="24"/>
      <c r="AB788" s="24"/>
      <c r="AC788" s="24"/>
      <c r="AD788" s="24"/>
      <c r="AE788" s="24"/>
      <c r="AF788" s="24"/>
      <c r="AG788" s="24"/>
      <c r="AH788" s="24"/>
      <c r="AI788" s="24"/>
      <c r="AJ788" s="25"/>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c r="BH788" s="24"/>
      <c r="BI788" s="24"/>
      <c r="BJ788" s="24"/>
    </row>
    <row r="789" spans="12:62" x14ac:dyDescent="0.35">
      <c r="L789" s="202"/>
      <c r="P789" s="202"/>
      <c r="W789" s="24"/>
      <c r="X789" s="24"/>
      <c r="Y789" s="24"/>
      <c r="Z789" s="24"/>
      <c r="AA789" s="24"/>
      <c r="AB789" s="24"/>
      <c r="AC789" s="24"/>
      <c r="AD789" s="24"/>
      <c r="AE789" s="24"/>
      <c r="AF789" s="24"/>
      <c r="AG789" s="24"/>
      <c r="AH789" s="24"/>
      <c r="AI789" s="24"/>
      <c r="AJ789" s="25"/>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row>
    <row r="790" spans="12:62" x14ac:dyDescent="0.35">
      <c r="L790" s="202"/>
      <c r="P790" s="202"/>
      <c r="W790" s="24"/>
      <c r="X790" s="24"/>
      <c r="Y790" s="24"/>
      <c r="Z790" s="24"/>
      <c r="AA790" s="24"/>
      <c r="AB790" s="24"/>
      <c r="AC790" s="24"/>
      <c r="AD790" s="24"/>
      <c r="AE790" s="24"/>
      <c r="AF790" s="24"/>
      <c r="AG790" s="24"/>
      <c r="AH790" s="24"/>
      <c r="AI790" s="24"/>
      <c r="AJ790" s="25"/>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c r="BJ790" s="24"/>
    </row>
    <row r="791" spans="12:62" x14ac:dyDescent="0.35">
      <c r="L791" s="202"/>
      <c r="P791" s="202"/>
      <c r="W791" s="24"/>
      <c r="X791" s="24"/>
      <c r="Y791" s="24"/>
      <c r="Z791" s="24"/>
      <c r="AA791" s="24"/>
      <c r="AB791" s="24"/>
      <c r="AC791" s="24"/>
      <c r="AD791" s="24"/>
      <c r="AE791" s="24"/>
      <c r="AF791" s="24"/>
      <c r="AG791" s="24"/>
      <c r="AH791" s="24"/>
      <c r="AI791" s="24"/>
      <c r="AJ791" s="25"/>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c r="BJ791" s="24"/>
    </row>
    <row r="792" spans="12:62" x14ac:dyDescent="0.35">
      <c r="L792" s="202"/>
      <c r="P792" s="202"/>
      <c r="W792" s="24"/>
      <c r="X792" s="24"/>
      <c r="Y792" s="24"/>
      <c r="Z792" s="24"/>
      <c r="AA792" s="24"/>
      <c r="AB792" s="24"/>
      <c r="AC792" s="24"/>
      <c r="AD792" s="24"/>
      <c r="AE792" s="24"/>
      <c r="AF792" s="24"/>
      <c r="AG792" s="24"/>
      <c r="AH792" s="24"/>
      <c r="AI792" s="24"/>
      <c r="AJ792" s="25"/>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c r="BH792" s="24"/>
      <c r="BI792" s="24"/>
      <c r="BJ792" s="24"/>
    </row>
    <row r="793" spans="12:62" x14ac:dyDescent="0.35">
      <c r="L793" s="202"/>
      <c r="P793" s="202"/>
      <c r="W793" s="24"/>
      <c r="X793" s="24"/>
      <c r="Y793" s="24"/>
      <c r="Z793" s="24"/>
      <c r="AA793" s="24"/>
      <c r="AB793" s="24"/>
      <c r="AC793" s="24"/>
      <c r="AD793" s="24"/>
      <c r="AE793" s="24"/>
      <c r="AF793" s="24"/>
      <c r="AG793" s="24"/>
      <c r="AH793" s="24"/>
      <c r="AI793" s="24"/>
      <c r="AJ793" s="25"/>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c r="BJ793" s="24"/>
    </row>
    <row r="794" spans="12:62" x14ac:dyDescent="0.35">
      <c r="L794" s="202"/>
      <c r="P794" s="202"/>
      <c r="W794" s="24"/>
      <c r="X794" s="24"/>
      <c r="Y794" s="24"/>
      <c r="Z794" s="24"/>
      <c r="AA794" s="24"/>
      <c r="AB794" s="24"/>
      <c r="AC794" s="24"/>
      <c r="AD794" s="24"/>
      <c r="AE794" s="24"/>
      <c r="AF794" s="24"/>
      <c r="AG794" s="24"/>
      <c r="AH794" s="24"/>
      <c r="AI794" s="24"/>
      <c r="AJ794" s="25"/>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c r="BH794" s="24"/>
      <c r="BI794" s="24"/>
      <c r="BJ794" s="24"/>
    </row>
    <row r="795" spans="12:62" x14ac:dyDescent="0.35">
      <c r="L795" s="202"/>
      <c r="P795" s="202"/>
      <c r="W795" s="24"/>
      <c r="X795" s="24"/>
      <c r="Y795" s="24"/>
      <c r="Z795" s="24"/>
      <c r="AA795" s="24"/>
      <c r="AB795" s="24"/>
      <c r="AC795" s="24"/>
      <c r="AD795" s="24"/>
      <c r="AE795" s="24"/>
      <c r="AF795" s="24"/>
      <c r="AG795" s="24"/>
      <c r="AH795" s="24"/>
      <c r="AI795" s="24"/>
      <c r="AJ795" s="25"/>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c r="BJ795" s="24"/>
    </row>
    <row r="796" spans="12:62" x14ac:dyDescent="0.35">
      <c r="L796" s="202"/>
      <c r="P796" s="202"/>
      <c r="W796" s="24"/>
      <c r="X796" s="24"/>
      <c r="Y796" s="24"/>
      <c r="Z796" s="24"/>
      <c r="AA796" s="24"/>
      <c r="AB796" s="24"/>
      <c r="AC796" s="24"/>
      <c r="AD796" s="24"/>
      <c r="AE796" s="24"/>
      <c r="AF796" s="24"/>
      <c r="AG796" s="24"/>
      <c r="AH796" s="24"/>
      <c r="AI796" s="24"/>
      <c r="AJ796" s="25"/>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c r="BH796" s="24"/>
      <c r="BI796" s="24"/>
      <c r="BJ796" s="24"/>
    </row>
    <row r="797" spans="12:62" x14ac:dyDescent="0.35">
      <c r="L797" s="202"/>
      <c r="P797" s="202"/>
      <c r="W797" s="24"/>
      <c r="X797" s="24"/>
      <c r="Y797" s="24"/>
      <c r="Z797" s="24"/>
      <c r="AA797" s="24"/>
      <c r="AB797" s="24"/>
      <c r="AC797" s="24"/>
      <c r="AD797" s="24"/>
      <c r="AE797" s="24"/>
      <c r="AF797" s="24"/>
      <c r="AG797" s="24"/>
      <c r="AH797" s="24"/>
      <c r="AI797" s="24"/>
      <c r="AJ797" s="25"/>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c r="BJ797" s="24"/>
    </row>
    <row r="798" spans="12:62" x14ac:dyDescent="0.35">
      <c r="L798" s="202"/>
      <c r="P798" s="202"/>
      <c r="W798" s="24"/>
      <c r="X798" s="24"/>
      <c r="Y798" s="24"/>
      <c r="Z798" s="24"/>
      <c r="AA798" s="24"/>
      <c r="AB798" s="24"/>
      <c r="AC798" s="24"/>
      <c r="AD798" s="24"/>
      <c r="AE798" s="24"/>
      <c r="AF798" s="24"/>
      <c r="AG798" s="24"/>
      <c r="AH798" s="24"/>
      <c r="AI798" s="24"/>
      <c r="AJ798" s="25"/>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c r="BJ798" s="24"/>
    </row>
    <row r="799" spans="12:62" x14ac:dyDescent="0.35">
      <c r="L799" s="202"/>
      <c r="P799" s="202"/>
      <c r="W799" s="24"/>
      <c r="X799" s="24"/>
      <c r="Y799" s="24"/>
      <c r="Z799" s="24"/>
      <c r="AA799" s="24"/>
      <c r="AB799" s="24"/>
      <c r="AC799" s="24"/>
      <c r="AD799" s="24"/>
      <c r="AE799" s="24"/>
      <c r="AF799" s="24"/>
      <c r="AG799" s="24"/>
      <c r="AH799" s="24"/>
      <c r="AI799" s="24"/>
      <c r="AJ799" s="25"/>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c r="BJ799" s="24"/>
    </row>
    <row r="800" spans="12:62" x14ac:dyDescent="0.35">
      <c r="L800" s="202"/>
      <c r="P800" s="202"/>
      <c r="W800" s="24"/>
      <c r="X800" s="24"/>
      <c r="Y800" s="24"/>
      <c r="Z800" s="24"/>
      <c r="AA800" s="24"/>
      <c r="AB800" s="24"/>
      <c r="AC800" s="24"/>
      <c r="AD800" s="24"/>
      <c r="AE800" s="24"/>
      <c r="AF800" s="24"/>
      <c r="AG800" s="24"/>
      <c r="AH800" s="24"/>
      <c r="AI800" s="24"/>
      <c r="AJ800" s="25"/>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c r="BH800" s="24"/>
      <c r="BI800" s="24"/>
      <c r="BJ800" s="24"/>
    </row>
    <row r="801" spans="12:62" x14ac:dyDescent="0.35">
      <c r="L801" s="202"/>
      <c r="P801" s="202"/>
      <c r="W801" s="24"/>
      <c r="X801" s="24"/>
      <c r="Y801" s="24"/>
      <c r="Z801" s="24"/>
      <c r="AA801" s="24"/>
      <c r="AB801" s="24"/>
      <c r="AC801" s="24"/>
      <c r="AD801" s="24"/>
      <c r="AE801" s="24"/>
      <c r="AF801" s="24"/>
      <c r="AG801" s="24"/>
      <c r="AH801" s="24"/>
      <c r="AI801" s="24"/>
      <c r="AJ801" s="25"/>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c r="BJ801" s="24"/>
    </row>
    <row r="802" spans="12:62" x14ac:dyDescent="0.35">
      <c r="L802" s="202"/>
      <c r="P802" s="202"/>
      <c r="W802" s="24"/>
      <c r="X802" s="24"/>
      <c r="Y802" s="24"/>
      <c r="Z802" s="24"/>
      <c r="AA802" s="24"/>
      <c r="AB802" s="24"/>
      <c r="AC802" s="24"/>
      <c r="AD802" s="24"/>
      <c r="AE802" s="24"/>
      <c r="AF802" s="24"/>
      <c r="AG802" s="24"/>
      <c r="AH802" s="24"/>
      <c r="AI802" s="24"/>
      <c r="AJ802" s="25"/>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c r="BH802" s="24"/>
      <c r="BI802" s="24"/>
      <c r="BJ802" s="24"/>
    </row>
    <row r="803" spans="12:62" x14ac:dyDescent="0.35">
      <c r="L803" s="202"/>
      <c r="P803" s="202"/>
      <c r="W803" s="24"/>
      <c r="X803" s="24"/>
      <c r="Y803" s="24"/>
      <c r="Z803" s="24"/>
      <c r="AA803" s="24"/>
      <c r="AB803" s="24"/>
      <c r="AC803" s="24"/>
      <c r="AD803" s="24"/>
      <c r="AE803" s="24"/>
      <c r="AF803" s="24"/>
      <c r="AG803" s="24"/>
      <c r="AH803" s="24"/>
      <c r="AI803" s="24"/>
      <c r="AJ803" s="25"/>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c r="BJ803" s="24"/>
    </row>
    <row r="804" spans="12:62" x14ac:dyDescent="0.35">
      <c r="L804" s="202"/>
      <c r="P804" s="202"/>
      <c r="W804" s="24"/>
      <c r="X804" s="24"/>
      <c r="Y804" s="24"/>
      <c r="Z804" s="24"/>
      <c r="AA804" s="24"/>
      <c r="AB804" s="24"/>
      <c r="AC804" s="24"/>
      <c r="AD804" s="24"/>
      <c r="AE804" s="24"/>
      <c r="AF804" s="24"/>
      <c r="AG804" s="24"/>
      <c r="AH804" s="24"/>
      <c r="AI804" s="24"/>
      <c r="AJ804" s="25"/>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c r="BH804" s="24"/>
      <c r="BI804" s="24"/>
      <c r="BJ804" s="24"/>
    </row>
    <row r="805" spans="12:62" x14ac:dyDescent="0.35">
      <c r="L805" s="202"/>
      <c r="P805" s="202"/>
      <c r="W805" s="24"/>
      <c r="X805" s="24"/>
      <c r="Y805" s="24"/>
      <c r="Z805" s="24"/>
      <c r="AA805" s="24"/>
      <c r="AB805" s="24"/>
      <c r="AC805" s="24"/>
      <c r="AD805" s="24"/>
      <c r="AE805" s="24"/>
      <c r="AF805" s="24"/>
      <c r="AG805" s="24"/>
      <c r="AH805" s="24"/>
      <c r="AI805" s="24"/>
      <c r="AJ805" s="25"/>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c r="BJ805" s="24"/>
    </row>
    <row r="806" spans="12:62" x14ac:dyDescent="0.35">
      <c r="L806" s="202"/>
      <c r="P806" s="202"/>
      <c r="W806" s="24"/>
      <c r="X806" s="24"/>
      <c r="Y806" s="24"/>
      <c r="Z806" s="24"/>
      <c r="AA806" s="24"/>
      <c r="AB806" s="24"/>
      <c r="AC806" s="24"/>
      <c r="AD806" s="24"/>
      <c r="AE806" s="24"/>
      <c r="AF806" s="24"/>
      <c r="AG806" s="24"/>
      <c r="AH806" s="24"/>
      <c r="AI806" s="24"/>
      <c r="AJ806" s="25"/>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c r="BJ806" s="24"/>
    </row>
    <row r="807" spans="12:62" x14ac:dyDescent="0.35">
      <c r="L807" s="202"/>
      <c r="P807" s="202"/>
      <c r="W807" s="24"/>
      <c r="X807" s="24"/>
      <c r="Y807" s="24"/>
      <c r="Z807" s="24"/>
      <c r="AA807" s="24"/>
      <c r="AB807" s="24"/>
      <c r="AC807" s="24"/>
      <c r="AD807" s="24"/>
      <c r="AE807" s="24"/>
      <c r="AF807" s="24"/>
      <c r="AG807" s="24"/>
      <c r="AH807" s="24"/>
      <c r="AI807" s="24"/>
      <c r="AJ807" s="25"/>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c r="BJ807" s="24"/>
    </row>
    <row r="808" spans="12:62" x14ac:dyDescent="0.35">
      <c r="L808" s="202"/>
      <c r="P808" s="202"/>
      <c r="W808" s="24"/>
      <c r="X808" s="24"/>
      <c r="Y808" s="24"/>
      <c r="Z808" s="24"/>
      <c r="AA808" s="24"/>
      <c r="AB808" s="24"/>
      <c r="AC808" s="24"/>
      <c r="AD808" s="24"/>
      <c r="AE808" s="24"/>
      <c r="AF808" s="24"/>
      <c r="AG808" s="24"/>
      <c r="AH808" s="24"/>
      <c r="AI808" s="24"/>
      <c r="AJ808" s="25"/>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c r="BH808" s="24"/>
      <c r="BI808" s="24"/>
      <c r="BJ808" s="24"/>
    </row>
  </sheetData>
  <mergeCells count="14">
    <mergeCell ref="Z1:Z3"/>
    <mergeCell ref="E1:L1"/>
    <mergeCell ref="M1:P1"/>
    <mergeCell ref="W1:W3"/>
    <mergeCell ref="X1:X3"/>
    <mergeCell ref="Y1:Y3"/>
    <mergeCell ref="AG1:AG3"/>
    <mergeCell ref="AH1:AH3"/>
    <mergeCell ref="AA1:AA3"/>
    <mergeCell ref="AB1:AB3"/>
    <mergeCell ref="AC1:AC3"/>
    <mergeCell ref="AD1:AD3"/>
    <mergeCell ref="AE1:AE3"/>
    <mergeCell ref="AF1:AF3"/>
  </mergeCells>
  <phoneticPr fontId="10" type="noConversion"/>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AE18-DB25-4F33-9CB6-D70694B860B5}">
  <dimension ref="A1:H34"/>
  <sheetViews>
    <sheetView zoomScale="77" zoomScaleNormal="77" workbookViewId="0">
      <selection activeCell="C2" sqref="C2"/>
    </sheetView>
  </sheetViews>
  <sheetFormatPr baseColWidth="10" defaultRowHeight="14.5" x14ac:dyDescent="0.35"/>
  <cols>
    <col min="1" max="1" width="9.1796875" bestFit="1" customWidth="1"/>
    <col min="2" max="2" width="66.6328125" style="7" customWidth="1"/>
    <col min="3" max="3" width="19.08984375" style="7" customWidth="1"/>
    <col min="4" max="5" width="14.81640625" bestFit="1" customWidth="1"/>
    <col min="6" max="6" width="15.54296875" bestFit="1" customWidth="1"/>
    <col min="8" max="8" width="17.90625" customWidth="1"/>
  </cols>
  <sheetData>
    <row r="1" spans="1:8" ht="39.5" thickBot="1" x14ac:dyDescent="0.4">
      <c r="A1" s="56" t="s">
        <v>274</v>
      </c>
      <c r="B1" s="57" t="s">
        <v>275</v>
      </c>
      <c r="C1" s="54" t="s">
        <v>157</v>
      </c>
      <c r="D1" s="55" t="s">
        <v>167</v>
      </c>
      <c r="E1" s="55" t="s">
        <v>165</v>
      </c>
      <c r="F1" s="55" t="s">
        <v>168</v>
      </c>
    </row>
    <row r="2" spans="1:8" ht="15.5" thickBot="1" x14ac:dyDescent="0.4">
      <c r="A2" s="58" t="s">
        <v>9</v>
      </c>
      <c r="B2" s="59" t="s">
        <v>86</v>
      </c>
      <c r="C2" s="41">
        <f>'PforR FPI 2024_atelier'!E6</f>
        <v>7669887271.5500002</v>
      </c>
      <c r="D2" s="42">
        <f>'PforR FPI 2024_atelier'!L6</f>
        <v>3911035663.349</v>
      </c>
      <c r="E2" s="42">
        <f>'PforR FPI 2024_atelier'!P6</f>
        <v>6256950294.7879992</v>
      </c>
      <c r="F2" s="43">
        <f>'PforR FPI 2024_atelier'!Q6</f>
        <v>10167985958.136999</v>
      </c>
    </row>
    <row r="3" spans="1:8" ht="30.5" thickBot="1" x14ac:dyDescent="0.4">
      <c r="A3" s="60" t="s">
        <v>133</v>
      </c>
      <c r="B3" s="61" t="s">
        <v>140</v>
      </c>
      <c r="C3" s="46">
        <f>'PforR FPI 2024_atelier'!E7</f>
        <v>5587305125.6999998</v>
      </c>
      <c r="D3" s="47">
        <f>'PforR FPI 2024_atelier'!L7</f>
        <v>3184423798.1490002</v>
      </c>
      <c r="E3" s="47">
        <f>'PforR FPI 2024_atelier'!P7</f>
        <v>3358554304.428</v>
      </c>
      <c r="F3" s="47">
        <f>'PforR FPI 2024_atelier'!Q7</f>
        <v>6542978102.5769997</v>
      </c>
    </row>
    <row r="4" spans="1:8" s="8" customFormat="1" ht="16" x14ac:dyDescent="0.35">
      <c r="A4" s="62" t="s">
        <v>11</v>
      </c>
      <c r="B4" s="63" t="s">
        <v>136</v>
      </c>
      <c r="C4" s="44">
        <f>'PforR FPI 2024_atelier'!E8</f>
        <v>73052263</v>
      </c>
      <c r="D4" s="45">
        <f>'PforR FPI 2024_atelier'!L8</f>
        <v>737826120.20000005</v>
      </c>
      <c r="E4" s="45">
        <f>'PforR FPI 2024_atelier'!P8</f>
        <v>350475720.92799997</v>
      </c>
      <c r="F4" s="45">
        <f>'PforR FPI 2024_atelier'!Q8</f>
        <v>1088301841.128</v>
      </c>
      <c r="H4" s="74"/>
    </row>
    <row r="5" spans="1:8" s="8" customFormat="1" ht="16" x14ac:dyDescent="0.35">
      <c r="A5" s="39" t="s">
        <v>26</v>
      </c>
      <c r="B5" s="64" t="s">
        <v>27</v>
      </c>
      <c r="C5" s="40">
        <f>'PforR FPI 2024_atelier'!E39</f>
        <v>165628813</v>
      </c>
      <c r="D5" s="38">
        <f>'PforR FPI 2024_atelier'!L39</f>
        <v>229666365</v>
      </c>
      <c r="E5" s="38">
        <f>'PforR FPI 2024_atelier'!P39</f>
        <v>2447775</v>
      </c>
      <c r="F5" s="38">
        <f>'PforR FPI 2024_atelier'!Q39</f>
        <v>232114140</v>
      </c>
    </row>
    <row r="6" spans="1:8" s="8" customFormat="1" ht="16" x14ac:dyDescent="0.35">
      <c r="A6" s="39" t="s">
        <v>113</v>
      </c>
      <c r="B6" s="64" t="s">
        <v>114</v>
      </c>
      <c r="C6" s="40">
        <f>'PforR FPI 2024_atelier'!E52</f>
        <v>23364092</v>
      </c>
      <c r="D6" s="38">
        <f>'PforR FPI 2024_atelier'!L52</f>
        <v>0</v>
      </c>
      <c r="E6" s="38">
        <f>'PforR FPI 2024_atelier'!P52</f>
        <v>0</v>
      </c>
      <c r="F6" s="38">
        <f>'PforR FPI 2024_atelier'!Q52</f>
        <v>0</v>
      </c>
    </row>
    <row r="7" spans="1:8" s="8" customFormat="1" ht="16" x14ac:dyDescent="0.35">
      <c r="A7" s="39" t="s">
        <v>31</v>
      </c>
      <c r="B7" s="64" t="s">
        <v>32</v>
      </c>
      <c r="C7" s="40">
        <f>'PforR FPI 2024_atelier'!E55</f>
        <v>54025944</v>
      </c>
      <c r="D7" s="38">
        <f>'PforR FPI 2024_atelier'!L55</f>
        <v>516771312.949</v>
      </c>
      <c r="E7" s="38">
        <f>'PforR FPI 2024_atelier'!P55</f>
        <v>601202478.5</v>
      </c>
      <c r="F7" s="38">
        <f>'PforR FPI 2024_atelier'!Q55</f>
        <v>1117973791.4489999</v>
      </c>
    </row>
    <row r="8" spans="1:8" s="8" customFormat="1" ht="16" x14ac:dyDescent="0.35">
      <c r="A8" s="39" t="s">
        <v>34</v>
      </c>
      <c r="B8" s="64" t="s">
        <v>35</v>
      </c>
      <c r="C8" s="40">
        <f>'PforR FPI 2024_atelier'!E70</f>
        <v>0</v>
      </c>
      <c r="D8" s="40">
        <f>'PforR FPI 2024_atelier'!L70</f>
        <v>0</v>
      </c>
      <c r="E8" s="38">
        <f>'PforR FPI 2024_atelier'!P70</f>
        <v>0</v>
      </c>
      <c r="F8" s="38">
        <f>'PforR FPI 2024_atelier'!Q70</f>
        <v>0</v>
      </c>
    </row>
    <row r="9" spans="1:8" s="8" customFormat="1" ht="32" x14ac:dyDescent="0.35">
      <c r="A9" s="39" t="s">
        <v>238</v>
      </c>
      <c r="B9" s="64" t="s">
        <v>239</v>
      </c>
      <c r="C9" s="40">
        <f>'PforR FPI 2024_atelier'!E72</f>
        <v>0</v>
      </c>
      <c r="D9" s="40">
        <f>'PforR FPI 2024_atelier'!L72</f>
        <v>0</v>
      </c>
      <c r="E9" s="38">
        <f>'PforR FPI 2024_atelier'!P72</f>
        <v>80000000</v>
      </c>
      <c r="F9" s="38">
        <f>'PforR FPI 2024_atelier'!Q72</f>
        <v>80000000</v>
      </c>
    </row>
    <row r="10" spans="1:8" s="8" customFormat="1" ht="32" x14ac:dyDescent="0.35">
      <c r="A10" s="39" t="s">
        <v>132</v>
      </c>
      <c r="B10" s="64" t="s">
        <v>141</v>
      </c>
      <c r="C10" s="40">
        <f>'PforR FPI 2024_atelier'!E74</f>
        <v>5271234013.6999998</v>
      </c>
      <c r="D10" s="38">
        <f>'PforR FPI 2024_atelier'!L74</f>
        <v>0</v>
      </c>
      <c r="E10" s="38">
        <f>'PforR FPI 2024_atelier'!P74</f>
        <v>0</v>
      </c>
      <c r="F10" s="38">
        <f>'PforR FPI 2024_atelier'!Q74</f>
        <v>0</v>
      </c>
    </row>
    <row r="11" spans="1:8" s="8" customFormat="1" ht="16" x14ac:dyDescent="0.35">
      <c r="A11" s="39" t="s">
        <v>131</v>
      </c>
      <c r="B11" s="64" t="s">
        <v>38</v>
      </c>
      <c r="C11" s="40">
        <f>'PforR FPI 2024_atelier'!E76</f>
        <v>0</v>
      </c>
      <c r="D11" s="38">
        <f>'PforR FPI 2024_atelier'!L76</f>
        <v>0</v>
      </c>
      <c r="E11" s="38">
        <f>'PforR FPI 2024_atelier'!P76</f>
        <v>11258330</v>
      </c>
      <c r="F11" s="38">
        <f>'PforR FPI 2024_atelier'!Q76</f>
        <v>11258330</v>
      </c>
    </row>
    <row r="12" spans="1:8" s="8" customFormat="1" ht="16" x14ac:dyDescent="0.35">
      <c r="A12" s="39" t="s">
        <v>130</v>
      </c>
      <c r="B12" s="64" t="s">
        <v>137</v>
      </c>
      <c r="C12" s="40">
        <f>'PforR FPI 2024_atelier'!E78</f>
        <v>0</v>
      </c>
      <c r="D12" s="38">
        <f>'PforR FPI 2024_atelier'!L78</f>
        <v>1700160000</v>
      </c>
      <c r="E12" s="38">
        <f>'PforR FPI 2024_atelier'!P78</f>
        <v>2062500000</v>
      </c>
      <c r="F12" s="38">
        <f>'PforR FPI 2024_atelier'!Q78</f>
        <v>3762660000</v>
      </c>
    </row>
    <row r="13" spans="1:8" s="8" customFormat="1" ht="16" x14ac:dyDescent="0.35">
      <c r="A13" s="39" t="s">
        <v>129</v>
      </c>
      <c r="B13" s="64" t="s">
        <v>138</v>
      </c>
      <c r="C13" s="40">
        <f>'PforR FPI 2024_atelier'!E86</f>
        <v>0</v>
      </c>
      <c r="D13" s="38">
        <f>'PforR FPI 2024_atelier'!L86</f>
        <v>0</v>
      </c>
      <c r="E13" s="38">
        <f>'PforR FPI 2024_atelier'!P86</f>
        <v>250670000</v>
      </c>
      <c r="F13" s="38">
        <f>'PforR FPI 2024_atelier'!Q86</f>
        <v>250670000</v>
      </c>
    </row>
    <row r="14" spans="1:8" s="8" customFormat="1" ht="16.5" thickBot="1" x14ac:dyDescent="0.4">
      <c r="A14" s="48" t="s">
        <v>128</v>
      </c>
      <c r="B14" s="65" t="s">
        <v>139</v>
      </c>
      <c r="C14" s="49">
        <f>'PforR FPI 2024_atelier'!E95</f>
        <v>0</v>
      </c>
      <c r="D14" s="50">
        <f>'PforR FPI 2024_atelier'!L95</f>
        <v>0</v>
      </c>
      <c r="E14" s="50">
        <f>'PforR FPI 2024_atelier'!P95</f>
        <v>0</v>
      </c>
      <c r="F14" s="50">
        <f>'PforR FPI 2024_atelier'!Q95</f>
        <v>0</v>
      </c>
    </row>
    <row r="15" spans="1:8" ht="15.5" thickBot="1" x14ac:dyDescent="0.4">
      <c r="A15" s="66" t="s">
        <v>10</v>
      </c>
      <c r="B15" s="61" t="s">
        <v>135</v>
      </c>
      <c r="C15" s="46">
        <f>'PforR FPI 2024_atelier'!E98</f>
        <v>61425490</v>
      </c>
      <c r="D15" s="47">
        <f>'PforR FPI 2024_atelier'!L98</f>
        <v>222231880</v>
      </c>
      <c r="E15" s="47">
        <f>'PforR FPI 2024_atelier'!P98</f>
        <v>791821000</v>
      </c>
      <c r="F15" s="51">
        <f>'PforR FPI 2024_atelier'!Q98</f>
        <v>1014052880</v>
      </c>
    </row>
    <row r="16" spans="1:8" s="8" customFormat="1" ht="32" x14ac:dyDescent="0.35">
      <c r="A16" s="62" t="s">
        <v>127</v>
      </c>
      <c r="B16" s="63" t="str">
        <f>'PforR FPI 2024_atelier'!B99</f>
        <v>Révision de la loi sur l'enseignement général en Côte d'Ivoire</v>
      </c>
      <c r="C16" s="44">
        <f>'PforR FPI 2024_atelier'!E99</f>
        <v>0</v>
      </c>
      <c r="D16" s="45">
        <f>'PforR FPI 2024_atelier'!L99</f>
        <v>0</v>
      </c>
      <c r="E16" s="45">
        <f>'PforR FPI 2024_atelier'!P99</f>
        <v>155250000</v>
      </c>
      <c r="F16" s="45">
        <f>'PforR FPI 2024_atelier'!Q99</f>
        <v>155250000</v>
      </c>
    </row>
    <row r="17" spans="1:6" s="8" customFormat="1" ht="16" x14ac:dyDescent="0.35">
      <c r="A17" s="39" t="s">
        <v>127</v>
      </c>
      <c r="B17" s="64" t="s">
        <v>40</v>
      </c>
      <c r="C17" s="40">
        <f>'PforR FPI 2024_atelier'!E102</f>
        <v>0</v>
      </c>
      <c r="D17" s="38">
        <f>'PforR FPI 2024_atelier'!L102</f>
        <v>92946000</v>
      </c>
      <c r="E17" s="38">
        <f>'PforR FPI 2024_atelier'!P102</f>
        <v>293702000</v>
      </c>
      <c r="F17" s="38">
        <f>'PforR FPI 2024_atelier'!Q102</f>
        <v>386648000</v>
      </c>
    </row>
    <row r="18" spans="1:6" s="8" customFormat="1" ht="16.5" thickBot="1" x14ac:dyDescent="0.4">
      <c r="A18" s="48" t="s">
        <v>127</v>
      </c>
      <c r="B18" s="65" t="s">
        <v>41</v>
      </c>
      <c r="C18" s="49">
        <f>'PforR FPI 2024_atelier'!E117</f>
        <v>61425490</v>
      </c>
      <c r="D18" s="50">
        <f>+'PforR FPI 2024_atelier'!L117</f>
        <v>129285880</v>
      </c>
      <c r="E18" s="50">
        <f>+'PforR FPI 2024_atelier'!P117</f>
        <v>342869000</v>
      </c>
      <c r="F18" s="50">
        <f>+'PforR FPI 2024_atelier'!Q117</f>
        <v>472154880</v>
      </c>
    </row>
    <row r="19" spans="1:6" ht="15.5" thickBot="1" x14ac:dyDescent="0.4">
      <c r="A19" s="66" t="s">
        <v>10</v>
      </c>
      <c r="B19" s="61" t="s">
        <v>134</v>
      </c>
      <c r="C19" s="46">
        <f>+'PforR FPI 2024_atelier'!E137</f>
        <v>139204961.84999999</v>
      </c>
      <c r="D19" s="47">
        <f>+'PforR FPI 2024_atelier'!L137</f>
        <v>15300000</v>
      </c>
      <c r="E19" s="47">
        <f>+'PforR FPI 2024_atelier'!P137</f>
        <v>383101905</v>
      </c>
      <c r="F19" s="51">
        <f>+'PforR FPI 2024_atelier'!Q137</f>
        <v>398401905</v>
      </c>
    </row>
    <row r="20" spans="1:6" s="8" customFormat="1" ht="15.5" thickBot="1" x14ac:dyDescent="0.4">
      <c r="A20" s="67"/>
      <c r="B20" s="68"/>
      <c r="C20" s="52"/>
      <c r="D20" s="53"/>
      <c r="E20" s="53"/>
      <c r="F20" s="53"/>
    </row>
    <row r="21" spans="1:6" ht="15.5" thickBot="1" x14ac:dyDescent="0.4">
      <c r="A21" s="66" t="s">
        <v>10</v>
      </c>
      <c r="B21" s="61" t="s">
        <v>58</v>
      </c>
      <c r="C21" s="47">
        <f>'PforR FPI 2024_atelier'!E154</f>
        <v>571886880</v>
      </c>
      <c r="D21" s="47">
        <f>'PforR FPI 2024_atelier'!L154</f>
        <v>452579985.19999999</v>
      </c>
      <c r="E21" s="47">
        <f>'PforR FPI 2024_atelier'!P154</f>
        <v>1031102705.36</v>
      </c>
      <c r="F21" s="51">
        <f>'PforR FPI 2024_atelier'!Q154</f>
        <v>1483682690.5599999</v>
      </c>
    </row>
    <row r="22" spans="1:6" s="8" customFormat="1" ht="16" x14ac:dyDescent="0.35">
      <c r="A22" s="62" t="s">
        <v>127</v>
      </c>
      <c r="B22" s="63" t="s">
        <v>99</v>
      </c>
      <c r="C22" s="44">
        <f>+'PforR FPI 2024_atelier'!E155</f>
        <v>269088594</v>
      </c>
      <c r="D22" s="45">
        <f>+'PforR FPI 2024_atelier'!L155</f>
        <v>259570165.19999999</v>
      </c>
      <c r="E22" s="45">
        <f>+'PforR FPI 2024_atelier'!P155</f>
        <v>617389361.75999999</v>
      </c>
      <c r="F22" s="45">
        <f>+'PforR FPI 2024_atelier'!Q155</f>
        <v>876959526.96000004</v>
      </c>
    </row>
    <row r="23" spans="1:6" s="8" customFormat="1" ht="16" x14ac:dyDescent="0.35">
      <c r="A23" s="39" t="s">
        <v>127</v>
      </c>
      <c r="B23" s="64" t="s">
        <v>314</v>
      </c>
      <c r="C23" s="40">
        <f>+'PforR FPI 2024_atelier'!E180</f>
        <v>54519154</v>
      </c>
      <c r="D23" s="38">
        <f>+'PforR FPI 2024_atelier'!L180</f>
        <v>0</v>
      </c>
      <c r="E23" s="38">
        <f>+'PforR FPI 2024_atelier'!P180</f>
        <v>58618632</v>
      </c>
      <c r="F23" s="38">
        <f>+'PforR FPI 2024_atelier'!Q180</f>
        <v>58618632</v>
      </c>
    </row>
    <row r="24" spans="1:6" s="8" customFormat="1" ht="16" x14ac:dyDescent="0.35">
      <c r="A24" s="48" t="s">
        <v>127</v>
      </c>
      <c r="B24" s="65" t="str">
        <f>+'PforR FPI 2024_atelier'!B185</f>
        <v>Renforcement des capacités du personnel</v>
      </c>
      <c r="C24" s="49">
        <f>+'PforR FPI 2024_atelier'!E185</f>
        <v>0</v>
      </c>
      <c r="D24" s="50">
        <f>+'PforR FPI 2024_atelier'!L185</f>
        <v>25790000</v>
      </c>
      <c r="E24" s="50">
        <f>+'PforR FPI 2024_atelier'!P185</f>
        <v>50000000</v>
      </c>
      <c r="F24" s="50">
        <f>+'PforR FPI 2024_atelier'!Q185</f>
        <v>75790000</v>
      </c>
    </row>
    <row r="25" spans="1:6" s="8" customFormat="1" ht="16.5" thickBot="1" x14ac:dyDescent="0.4">
      <c r="A25" s="48" t="s">
        <v>127</v>
      </c>
      <c r="B25" s="65" t="s">
        <v>61</v>
      </c>
      <c r="C25" s="49">
        <f>+'PforR FPI 2024_atelier'!E188</f>
        <v>248279132</v>
      </c>
      <c r="D25" s="50">
        <f>+'PforR FPI 2024_atelier'!L188</f>
        <v>167219820</v>
      </c>
      <c r="E25" s="50">
        <f>+'PforR FPI 2024_atelier'!P188</f>
        <v>305094711.60000002</v>
      </c>
      <c r="F25" s="50">
        <f>+'PforR FPI 2024_atelier'!Q188</f>
        <v>472314531.60000002</v>
      </c>
    </row>
    <row r="26" spans="1:6" ht="15.5" thickBot="1" x14ac:dyDescent="0.4">
      <c r="A26" s="66" t="s">
        <v>10</v>
      </c>
      <c r="B26" s="61" t="s">
        <v>105</v>
      </c>
      <c r="C26" s="46">
        <f>+'PforR FPI 2024_atelier'!E225</f>
        <v>1310064814</v>
      </c>
      <c r="D26" s="47">
        <f>+'PforR FPI 2024_atelier'!L225</f>
        <v>36500000</v>
      </c>
      <c r="E26" s="47">
        <f>+'PforR FPI 2024_atelier'!P225</f>
        <v>692370380</v>
      </c>
      <c r="F26" s="51">
        <f>+'PforR FPI 2024_atelier'!Q225</f>
        <v>728870380</v>
      </c>
    </row>
    <row r="27" spans="1:6" s="8" customFormat="1" ht="16" x14ac:dyDescent="0.35">
      <c r="A27" s="62" t="s">
        <v>127</v>
      </c>
      <c r="B27" s="63" t="s">
        <v>106</v>
      </c>
      <c r="C27" s="44">
        <f>+'PforR FPI 2024_atelier'!E226</f>
        <v>3588000</v>
      </c>
      <c r="D27" s="45">
        <f>+'PforR FPI 2024_atelier'!L226</f>
        <v>3240000</v>
      </c>
      <c r="E27" s="45">
        <f>+'PforR FPI 2024_atelier'!P226</f>
        <v>58320000</v>
      </c>
      <c r="F27" s="45">
        <f>+'PforR FPI 2024_atelier'!Q226</f>
        <v>61560000</v>
      </c>
    </row>
    <row r="28" spans="1:6" s="8" customFormat="1" ht="16" x14ac:dyDescent="0.35">
      <c r="A28" s="39" t="s">
        <v>127</v>
      </c>
      <c r="B28" s="64" t="s">
        <v>107</v>
      </c>
      <c r="C28" s="40">
        <f>+'PforR FPI 2024_atelier'!E231</f>
        <v>380088380</v>
      </c>
      <c r="D28" s="38">
        <f>+'PforR FPI 2024_atelier'!L231</f>
        <v>0</v>
      </c>
      <c r="E28" s="38">
        <f>+'PforR FPI 2024_atelier'!P231</f>
        <v>405088380</v>
      </c>
      <c r="F28" s="38">
        <f>+'PforR FPI 2024_atelier'!Q231</f>
        <v>405088380</v>
      </c>
    </row>
    <row r="29" spans="1:6" s="8" customFormat="1" ht="16" x14ac:dyDescent="0.35">
      <c r="A29" s="39" t="s">
        <v>127</v>
      </c>
      <c r="B29" s="64" t="s">
        <v>83</v>
      </c>
      <c r="C29" s="40">
        <f>+'PforR FPI 2024_atelier'!E236</f>
        <v>356690406</v>
      </c>
      <c r="D29" s="38">
        <f>+'PforR FPI 2024_atelier'!L236</f>
        <v>25000000</v>
      </c>
      <c r="E29" s="38">
        <f>+'PforR FPI 2024_atelier'!P236</f>
        <v>193250000</v>
      </c>
      <c r="F29" s="38">
        <f>+'PforR FPI 2024_atelier'!Q236</f>
        <v>218250000</v>
      </c>
    </row>
    <row r="30" spans="1:6" s="8" customFormat="1" ht="16" x14ac:dyDescent="0.35">
      <c r="A30" s="39" t="s">
        <v>127</v>
      </c>
      <c r="B30" s="64" t="s">
        <v>87</v>
      </c>
      <c r="C30" s="40">
        <f>+'PforR FPI 2024_atelier'!E250</f>
        <v>569698028</v>
      </c>
      <c r="D30" s="38">
        <f>+'PforR FPI 2024_atelier'!L250</f>
        <v>0</v>
      </c>
      <c r="E30" s="38">
        <f>+'PforR FPI 2024_atelier'!P250</f>
        <v>35712000</v>
      </c>
      <c r="F30" s="38">
        <f>+'PforR FPI 2024_atelier'!Q250</f>
        <v>35712000</v>
      </c>
    </row>
    <row r="31" spans="1:6" s="8" customFormat="1" ht="16" x14ac:dyDescent="0.35">
      <c r="A31" s="39" t="str">
        <f>'PforR FPI 2024_atelier'!A253</f>
        <v>V</v>
      </c>
      <c r="B31" s="64" t="str">
        <f>'PforR FPI 2024_atelier'!B253</f>
        <v>Autre Appui institutionnel</v>
      </c>
      <c r="C31" s="40">
        <f>'PforR FPI 2024_atelier'!E253</f>
        <v>0</v>
      </c>
      <c r="D31" s="38">
        <f>'PforR FPI 2024_atelier'!L254</f>
        <v>8260000</v>
      </c>
      <c r="E31" s="38">
        <f>'PforR FPI 2024_atelier'!P254</f>
        <v>0</v>
      </c>
      <c r="F31" s="38">
        <f>'PforR FPI 2024_atelier'!Q254</f>
        <v>8260000</v>
      </c>
    </row>
    <row r="32" spans="1:6" x14ac:dyDescent="0.35">
      <c r="C32" s="73"/>
      <c r="D32" s="73"/>
      <c r="E32" s="73"/>
      <c r="F32" s="73"/>
    </row>
    <row r="34" spans="3:6" x14ac:dyDescent="0.35">
      <c r="C34" s="73"/>
      <c r="D34" s="73"/>
      <c r="E34" s="73"/>
      <c r="F34" s="73"/>
    </row>
  </sheetData>
  <printOptions horizontalCentered="1" verticalCentered="1"/>
  <pageMargins left="0.11811023622047245" right="0.11811023622047245" top="0.15748031496062992" bottom="0.15748031496062992" header="0.15748031496062992" footer="0.15748031496062992"/>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PforR FPI 2024_atelier</vt:lpstr>
      <vt:lpstr>Synthèse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Pefougne Abraham YEO</dc:creator>
  <cp:lastModifiedBy>MAIGA</cp:lastModifiedBy>
  <cp:lastPrinted>2024-10-04T17:23:54Z</cp:lastPrinted>
  <dcterms:created xsi:type="dcterms:W3CDTF">2023-04-17T15:25:11Z</dcterms:created>
  <dcterms:modified xsi:type="dcterms:W3CDTF">2025-02-25T12:29:30Z</dcterms:modified>
</cp:coreProperties>
</file>