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EstaPasta_de_trabalho"/>
  <bookViews>
    <workbookView xWindow="0" yWindow="90" windowWidth="15195" windowHeight="8700" tabRatio="744" activeTab="1"/>
  </bookViews>
  <sheets>
    <sheet name="Resumo" sheetId="6" r:id="rId1"/>
    <sheet name="Planejamento" sheetId="5" r:id="rId2"/>
    <sheet name="Histórico de Versões" sheetId="8" r:id="rId3"/>
    <sheet name="Parâmetros" sheetId="7" r:id="rId4"/>
    <sheet name="Classificação Padrão" sheetId="1" r:id="rId5"/>
    <sheet name="Glossário" sheetId="4" r:id="rId6"/>
  </sheets>
  <definedNames>
    <definedName name="_xlnm._FilterDatabase" localSheetId="1" hidden="1">Planejamento!$A$6:$O$43</definedName>
    <definedName name="Recursos">Parâmetros!$B$12:$B$18</definedName>
  </definedNames>
  <calcPr calcId="125725"/>
</workbook>
</file>

<file path=xl/calcChain.xml><?xml version="1.0" encoding="utf-8"?>
<calcChain xmlns="http://schemas.openxmlformats.org/spreadsheetml/2006/main">
  <c r="F20" i="5"/>
  <c r="F21"/>
  <c r="J18"/>
  <c r="J17"/>
  <c r="H17"/>
  <c r="H18"/>
  <c r="G18"/>
  <c r="D17"/>
  <c r="D18"/>
  <c r="E18"/>
  <c r="E17" s="1"/>
  <c r="F18"/>
  <c r="F17" s="1"/>
  <c r="Q19"/>
  <c r="P19"/>
  <c r="K19"/>
  <c r="I19"/>
  <c r="C13" i="6"/>
  <c r="C12" i="5"/>
  <c r="D11"/>
  <c r="G17" l="1"/>
  <c r="N19"/>
  <c r="L19"/>
  <c r="I18"/>
  <c r="I17"/>
  <c r="K17"/>
  <c r="K18"/>
  <c r="M19"/>
  <c r="O19"/>
  <c r="H55" i="6"/>
  <c r="I55" s="1"/>
  <c r="G55"/>
  <c r="F55"/>
  <c r="E55"/>
  <c r="H54"/>
  <c r="I54" s="1"/>
  <c r="G54"/>
  <c r="F54"/>
  <c r="E54"/>
  <c r="H53"/>
  <c r="I53" s="1"/>
  <c r="G53"/>
  <c r="F53"/>
  <c r="E53"/>
  <c r="H52"/>
  <c r="I52" s="1"/>
  <c r="G52"/>
  <c r="F52"/>
  <c r="E52"/>
  <c r="H51"/>
  <c r="I51" s="1"/>
  <c r="G51"/>
  <c r="F51"/>
  <c r="E51"/>
  <c r="H50"/>
  <c r="I50" s="1"/>
  <c r="G50"/>
  <c r="F50"/>
  <c r="E50"/>
  <c r="B43"/>
  <c r="A43"/>
  <c r="P42" i="5" l="1"/>
  <c r="P41"/>
  <c r="P40"/>
  <c r="P39"/>
  <c r="P38"/>
  <c r="P35"/>
  <c r="P34"/>
  <c r="P33"/>
  <c r="P32"/>
  <c r="P31"/>
  <c r="P30"/>
  <c r="P29"/>
  <c r="P28"/>
  <c r="P27"/>
  <c r="P26"/>
  <c r="P25"/>
  <c r="P24"/>
  <c r="P23"/>
  <c r="P22"/>
  <c r="P16"/>
  <c r="P15"/>
  <c r="P14"/>
  <c r="P13"/>
  <c r="Q42"/>
  <c r="Q41"/>
  <c r="Q40"/>
  <c r="Q39"/>
  <c r="Q38"/>
  <c r="Q35"/>
  <c r="Q34"/>
  <c r="Q33"/>
  <c r="Q32"/>
  <c r="Q31"/>
  <c r="Q30"/>
  <c r="Q29"/>
  <c r="Q28"/>
  <c r="Q27"/>
  <c r="Q26"/>
  <c r="Q25"/>
  <c r="Q24"/>
  <c r="Q23"/>
  <c r="Q22"/>
  <c r="Q16"/>
  <c r="Q15"/>
  <c r="Q14"/>
  <c r="Q13"/>
  <c r="Q12"/>
  <c r="P12"/>
  <c r="K42"/>
  <c r="O42" s="1"/>
  <c r="K41"/>
  <c r="O41" s="1"/>
  <c r="K40"/>
  <c r="O40" s="1"/>
  <c r="K39"/>
  <c r="O39" s="1"/>
  <c r="K38"/>
  <c r="O38" s="1"/>
  <c r="K35"/>
  <c r="O35" s="1"/>
  <c r="K34"/>
  <c r="O34" s="1"/>
  <c r="K33"/>
  <c r="O33" s="1"/>
  <c r="K32"/>
  <c r="O32" s="1"/>
  <c r="K31"/>
  <c r="O31" s="1"/>
  <c r="K30"/>
  <c r="O30" s="1"/>
  <c r="K29"/>
  <c r="O29" s="1"/>
  <c r="K28"/>
  <c r="O28" s="1"/>
  <c r="K27"/>
  <c r="O27" s="1"/>
  <c r="K26"/>
  <c r="O26" s="1"/>
  <c r="K25"/>
  <c r="O25" s="1"/>
  <c r="K24"/>
  <c r="O24" s="1"/>
  <c r="K23"/>
  <c r="O23" s="1"/>
  <c r="K22"/>
  <c r="O22" s="1"/>
  <c r="K16"/>
  <c r="K15"/>
  <c r="O15" s="1"/>
  <c r="K14"/>
  <c r="K13"/>
  <c r="O13" s="1"/>
  <c r="K12"/>
  <c r="I42"/>
  <c r="N42" s="1"/>
  <c r="I41"/>
  <c r="N41" s="1"/>
  <c r="I40"/>
  <c r="N40" s="1"/>
  <c r="I39"/>
  <c r="N39" s="1"/>
  <c r="I38"/>
  <c r="N38" s="1"/>
  <c r="I35"/>
  <c r="N35" s="1"/>
  <c r="I34"/>
  <c r="N34" s="1"/>
  <c r="I33"/>
  <c r="N33" s="1"/>
  <c r="I32"/>
  <c r="N32" s="1"/>
  <c r="I31"/>
  <c r="N31" s="1"/>
  <c r="I30"/>
  <c r="N30" s="1"/>
  <c r="I29"/>
  <c r="N29" s="1"/>
  <c r="I28"/>
  <c r="N28" s="1"/>
  <c r="I27"/>
  <c r="N27" s="1"/>
  <c r="I26"/>
  <c r="N26" s="1"/>
  <c r="I25"/>
  <c r="N25" s="1"/>
  <c r="I24"/>
  <c r="N24" s="1"/>
  <c r="I23"/>
  <c r="I22"/>
  <c r="N22" s="1"/>
  <c r="I16"/>
  <c r="I15"/>
  <c r="I14"/>
  <c r="I13"/>
  <c r="I12"/>
  <c r="J36"/>
  <c r="J37"/>
  <c r="J21"/>
  <c r="H36"/>
  <c r="G37"/>
  <c r="G21"/>
  <c r="H37"/>
  <c r="H21"/>
  <c r="H10"/>
  <c r="H11"/>
  <c r="N23" l="1"/>
  <c r="N15"/>
  <c r="N14"/>
  <c r="N16"/>
  <c r="N13"/>
  <c r="J20"/>
  <c r="H8"/>
  <c r="I36"/>
  <c r="Q21"/>
  <c r="N12"/>
  <c r="P37"/>
  <c r="Q10"/>
  <c r="Q37"/>
  <c r="P21"/>
  <c r="I10"/>
  <c r="I11"/>
  <c r="L14"/>
  <c r="L16"/>
  <c r="L15"/>
  <c r="M14"/>
  <c r="M16"/>
  <c r="O14"/>
  <c r="O16"/>
  <c r="Q11"/>
  <c r="L12"/>
  <c r="M15"/>
  <c r="Q36"/>
  <c r="L39"/>
  <c r="L41"/>
  <c r="M39"/>
  <c r="M41"/>
  <c r="L38"/>
  <c r="L40"/>
  <c r="L42"/>
  <c r="M38"/>
  <c r="M40"/>
  <c r="M42"/>
  <c r="Q9"/>
  <c r="L22"/>
  <c r="L24"/>
  <c r="L26"/>
  <c r="L28"/>
  <c r="L30"/>
  <c r="L32"/>
  <c r="L34"/>
  <c r="M22"/>
  <c r="M24"/>
  <c r="M26"/>
  <c r="M28"/>
  <c r="M30"/>
  <c r="M32"/>
  <c r="M34"/>
  <c r="L23"/>
  <c r="L25"/>
  <c r="L27"/>
  <c r="L29"/>
  <c r="L31"/>
  <c r="L33"/>
  <c r="L35"/>
  <c r="M23"/>
  <c r="M25"/>
  <c r="M27"/>
  <c r="M29"/>
  <c r="M31"/>
  <c r="M33"/>
  <c r="M35"/>
  <c r="M12"/>
  <c r="O12"/>
  <c r="L13"/>
  <c r="M13"/>
  <c r="P11"/>
  <c r="P10"/>
  <c r="J10"/>
  <c r="J8"/>
  <c r="J11"/>
  <c r="J9"/>
  <c r="I43" i="6" s="1"/>
  <c r="H20" i="5"/>
  <c r="H9"/>
  <c r="G43" i="6" s="1"/>
  <c r="G11" i="5"/>
  <c r="F11"/>
  <c r="D10"/>
  <c r="E21"/>
  <c r="D21"/>
  <c r="D20" s="1"/>
  <c r="E37"/>
  <c r="G36" s="1"/>
  <c r="F37"/>
  <c r="E11"/>
  <c r="E10" s="1"/>
  <c r="O37"/>
  <c r="D37"/>
  <c r="P36"/>
  <c r="O36"/>
  <c r="I21"/>
  <c r="P18" l="1"/>
  <c r="P17"/>
  <c r="P8"/>
  <c r="P20"/>
  <c r="Q20"/>
  <c r="Q18"/>
  <c r="Q17"/>
  <c r="I8"/>
  <c r="Q8"/>
  <c r="P9"/>
  <c r="F36"/>
  <c r="I37"/>
  <c r="N37" s="1"/>
  <c r="E36"/>
  <c r="E20"/>
  <c r="G20"/>
  <c r="K21"/>
  <c r="O21" s="1"/>
  <c r="K36"/>
  <c r="L36" s="1"/>
  <c r="K37"/>
  <c r="I20"/>
  <c r="D36"/>
  <c r="F10"/>
  <c r="G10"/>
  <c r="M36"/>
  <c r="N36" l="1"/>
  <c r="M21"/>
  <c r="N17"/>
  <c r="N18"/>
  <c r="L37"/>
  <c r="M37"/>
  <c r="K20"/>
  <c r="L21"/>
  <c r="N21"/>
  <c r="I9"/>
  <c r="H43" i="6" s="1"/>
  <c r="T2" i="5"/>
  <c r="E30" i="6"/>
  <c r="E29"/>
  <c r="E28"/>
  <c r="C30"/>
  <c r="C29"/>
  <c r="C28"/>
  <c r="C22"/>
  <c r="E2" i="8"/>
  <c r="J2" i="6"/>
  <c r="E49"/>
  <c r="F49"/>
  <c r="G49"/>
  <c r="H49"/>
  <c r="I49" s="1"/>
  <c r="C23" s="1"/>
  <c r="N20" i="5" l="1"/>
  <c r="O20"/>
  <c r="M18"/>
  <c r="L18"/>
  <c r="O18"/>
  <c r="O17"/>
  <c r="M17"/>
  <c r="L17"/>
  <c r="C18" i="6"/>
  <c r="K8" i="5"/>
  <c r="K11"/>
  <c r="O11" s="1"/>
  <c r="K10"/>
  <c r="K9"/>
  <c r="J43" i="6" s="1"/>
  <c r="L20" i="5"/>
  <c r="M20"/>
  <c r="N8"/>
  <c r="C12" i="6"/>
  <c r="N10" i="5" l="1"/>
  <c r="O10"/>
  <c r="L8"/>
  <c r="O8"/>
  <c r="N9"/>
  <c r="O9"/>
  <c r="L9"/>
  <c r="M9"/>
  <c r="L11"/>
  <c r="M11"/>
  <c r="L10"/>
  <c r="M10"/>
  <c r="N11"/>
  <c r="C11" i="6"/>
  <c r="C20" l="1"/>
  <c r="M8" i="5" l="1"/>
  <c r="C21" i="6" l="1"/>
  <c r="F9" i="5" l="1"/>
  <c r="G9"/>
  <c r="F43" i="6" s="1"/>
  <c r="E9" i="5"/>
  <c r="D9"/>
  <c r="D8" l="1"/>
  <c r="C15" i="6" s="1"/>
  <c r="C43"/>
  <c r="E8" i="5"/>
  <c r="C17" i="6" s="1"/>
  <c r="D43"/>
  <c r="K43" s="1"/>
  <c r="F8" i="5"/>
  <c r="C16" i="6" s="1"/>
  <c r="E43"/>
  <c r="G8" i="5"/>
</calcChain>
</file>

<file path=xl/comments1.xml><?xml version="1.0" encoding="utf-8"?>
<comments xmlns="http://schemas.openxmlformats.org/spreadsheetml/2006/main">
  <authors>
    <author>deinf.silvioa</author>
  </authors>
  <commentList>
    <comment ref="D6" authorId="0">
      <text>
        <r>
          <rPr>
            <sz val="8"/>
            <color indexed="81"/>
            <rFont val="Tahoma"/>
            <family val="2"/>
          </rPr>
          <t>Data prevista de início do pacote de trabalho.</t>
        </r>
      </text>
    </comment>
    <comment ref="E6" authorId="0">
      <text>
        <r>
          <rPr>
            <sz val="8"/>
            <color indexed="81"/>
            <rFont val="Tahoma"/>
            <family val="2"/>
          </rPr>
          <t>Data prevista para entrega do pacote de trabalho.</t>
        </r>
      </text>
    </comment>
    <comment ref="F6" authorId="0">
      <text>
        <r>
          <rPr>
            <sz val="8"/>
            <color indexed="81"/>
            <rFont val="Tahoma"/>
            <family val="2"/>
          </rPr>
          <t>Data de início real do pacote de trabalho de acordo com o apontamento do GPA.</t>
        </r>
      </text>
    </comment>
    <comment ref="G6" authorId="0">
      <text>
        <r>
          <rPr>
            <sz val="8"/>
            <color indexed="81"/>
            <rFont val="Tahoma"/>
            <family val="2"/>
          </rPr>
          <t>Data de finalização real do pacote de trabalho.</t>
        </r>
      </text>
    </comment>
    <comment ref="H6" authorId="0">
      <text>
        <r>
          <rPr>
            <sz val="8"/>
            <color indexed="81"/>
            <rFont val="Tahoma"/>
            <family val="2"/>
          </rPr>
          <t>Esforço total planejado para o produto em homens-hora. É o resultado da soma da estimativa inicial mais o total de alterações aprovadas para o produto.</t>
        </r>
      </text>
    </comment>
    <comment ref="I6" authorId="0">
      <text>
        <r>
          <rPr>
            <sz val="8"/>
            <color indexed="81"/>
            <rFont val="Tahoma"/>
            <family val="2"/>
          </rPr>
          <t>Esforço total planejado para ser executado até a data final do período base (em homens-hora).</t>
        </r>
      </text>
    </comment>
    <comment ref="K6" authorId="0">
      <text>
        <r>
          <rPr>
            <sz val="8"/>
            <color indexed="81"/>
            <rFont val="Tahoma"/>
            <family val="2"/>
          </rPr>
          <t>Valor agregado ao produto de acordo com o percentual de conclusão alcançado até a data final do período base (em homens-hora).</t>
        </r>
      </text>
    </comment>
    <comment ref="L6" authorId="0">
      <text>
        <r>
          <rPr>
            <sz val="8"/>
            <color indexed="81"/>
            <rFont val="Tahoma"/>
            <family val="2"/>
          </rPr>
          <t>Variação no cronograma do projeto em homens-hora. O valor é calculado pela seguinte fórmula:
SV = EV – PV, onde
SV &gt; 0 indica que foi gasto menos tempo do que o previsto
SV &lt; 0 indica que foi gasto mais tempo do que o previsto</t>
        </r>
      </text>
    </comment>
    <comment ref="M6" authorId="0">
      <text>
        <r>
          <rPr>
            <sz val="8"/>
            <color indexed="81"/>
            <rFont val="Tahoma"/>
            <family val="2"/>
          </rPr>
          <t>Variação no custo planejado para o projeto em homens-hora. O valor é calculado pela seguinte fórmula:
CV = EV – AC, onde
CV &gt; 0 indica que foi gasto menos homens-hora do que o previsto e
CV &lt; 0 indica que foi gasto mais homens-hora do que o previsto.</t>
        </r>
      </text>
    </comment>
    <comment ref="N6" authorId="0">
      <text>
        <r>
          <rPr>
            <sz val="8"/>
            <color indexed="81"/>
            <rFont val="Arial"/>
            <family val="2"/>
          </rPr>
          <t>Schedule Performance Index - índice de cumprimento do cronograma planejado. O valor é calculado pela seguinte fórmula:
SPI = EV / PV, onde
SPI &gt; 1 indica que o projeto está adiantado e
SPI &lt; 1 indica que o projeto está atrasado.</t>
        </r>
      </text>
    </comment>
    <comment ref="O6" authorId="0">
      <text>
        <r>
          <rPr>
            <sz val="8"/>
            <color indexed="81"/>
            <rFont val="Arial"/>
            <family val="2"/>
          </rPr>
          <t>Cost Performance Index - índice de cumprimento dos custos planejados. O valor é calculado pela seguinte fórmula:
CPI = EV / AC, onde
CPI &gt; 1 indica que o projeto está custando menos do que o planejado e
CPI &lt; 1 indica que o projeto está custando mais do que o valor planejado.</t>
        </r>
      </text>
    </comment>
  </commentList>
</comments>
</file>

<file path=xl/sharedStrings.xml><?xml version="1.0" encoding="utf-8"?>
<sst xmlns="http://schemas.openxmlformats.org/spreadsheetml/2006/main" count="491" uniqueCount="259">
  <si>
    <t>Classificação Padrão de Produtos e Serviços</t>
  </si>
  <si>
    <t>Centro de Custo</t>
  </si>
  <si>
    <t>Descrição</t>
  </si>
  <si>
    <t>Fase</t>
  </si>
  <si>
    <t>Obrigatório</t>
  </si>
  <si>
    <t>P</t>
  </si>
  <si>
    <t>C</t>
  </si>
  <si>
    <t>E</t>
  </si>
  <si>
    <t>I</t>
  </si>
  <si>
    <t>T</t>
  </si>
  <si>
    <t>Fábrica de Software</t>
  </si>
  <si>
    <t>1.1</t>
  </si>
  <si>
    <t>Recepção de Demandas e Suporte aos Clientes</t>
  </si>
  <si>
    <t>1.1.01</t>
  </si>
  <si>
    <t>Recepção de Demandas</t>
  </si>
  <si>
    <t>1.1.01.01</t>
  </si>
  <si>
    <t>Análise Técnica de Demandas</t>
  </si>
  <si>
    <t>1.1.01.02</t>
  </si>
  <si>
    <t>Suporte e Fornecimento de Informações</t>
  </si>
  <si>
    <t>1.2</t>
  </si>
  <si>
    <t>1.2.01</t>
  </si>
  <si>
    <t>Gerenciamento do Projeto</t>
  </si>
  <si>
    <t>X</t>
  </si>
  <si>
    <t>1.2. 01.01</t>
  </si>
  <si>
    <t>Reuniões de Acompanhamento Gerencial</t>
  </si>
  <si>
    <t>1.2. 01.02</t>
  </si>
  <si>
    <t>Cronograma da Fase</t>
  </si>
  <si>
    <t>1.2. 01.03</t>
  </si>
  <si>
    <t>Plano do Projeto (Criação e Revisão)</t>
  </si>
  <si>
    <t>1.2. 01.04</t>
  </si>
  <si>
    <t>Linha de Base de Projeto</t>
  </si>
  <si>
    <t>1.2. 01.05</t>
  </si>
  <si>
    <t>Relatórios de Situação</t>
  </si>
  <si>
    <t>1.2. 01.06</t>
  </si>
  <si>
    <t xml:space="preserve">Termo de Aceite </t>
  </si>
  <si>
    <t>1.2. 01.07</t>
  </si>
  <si>
    <t>Termo de Encerramento de Projeto</t>
  </si>
  <si>
    <t>Lições Aprendidas</t>
  </si>
  <si>
    <t>1.2.02</t>
  </si>
  <si>
    <t>Estudo Preliminar</t>
  </si>
  <si>
    <t>1.2.02.01</t>
  </si>
  <si>
    <t>Atas das Reuniões com Stakeholders</t>
  </si>
  <si>
    <t>1.2.02.02</t>
  </si>
  <si>
    <t>EPP</t>
  </si>
  <si>
    <t>1.2.03</t>
  </si>
  <si>
    <t>Modelagem de Negócios</t>
  </si>
  <si>
    <t>1.2.03.01</t>
  </si>
  <si>
    <t>Documento de Modelagem de Negócio</t>
  </si>
  <si>
    <t>1.2.03.02</t>
  </si>
  <si>
    <t>Modelo de Processos de Negócio</t>
  </si>
  <si>
    <t>1.2.03.03</t>
  </si>
  <si>
    <t>Modelo de Entidades de Negócio</t>
  </si>
  <si>
    <t>1.2.04</t>
  </si>
  <si>
    <t>Requisitos</t>
  </si>
  <si>
    <t>1.2.04.01</t>
  </si>
  <si>
    <t>Workshop de Requisitos</t>
  </si>
  <si>
    <t>1.2.04.02</t>
  </si>
  <si>
    <t>Documento de Visão</t>
  </si>
  <si>
    <t>1.2.04.03</t>
  </si>
  <si>
    <t>Modelo de Casos de Uso</t>
  </si>
  <si>
    <t>1.2.04.04</t>
  </si>
  <si>
    <t>Especificações de Casos de Uso</t>
  </si>
  <si>
    <t>1.2.04.05</t>
  </si>
  <si>
    <t>Glossário</t>
  </si>
  <si>
    <t>1.2.04.06</t>
  </si>
  <si>
    <t>Cadastro de Requisitos</t>
  </si>
  <si>
    <t>1.2.04.07</t>
  </si>
  <si>
    <t>Matrizes de Rastreabilidade</t>
  </si>
  <si>
    <t>1.2.05</t>
  </si>
  <si>
    <t>Análise e Projeto</t>
  </si>
  <si>
    <t>1.2.05.01</t>
  </si>
  <si>
    <t>MAP – Modelo de Análise e Projeto</t>
  </si>
  <si>
    <t>1.2.05.02</t>
  </si>
  <si>
    <t>Documento de Arquitetura de Software</t>
  </si>
  <si>
    <t>1.2.05.03</t>
  </si>
  <si>
    <t>Modelo de Dados</t>
  </si>
  <si>
    <t>1.2.05.04</t>
  </si>
  <si>
    <t>Projeto de Interface com Usuário</t>
  </si>
  <si>
    <t>1.2.06</t>
  </si>
  <si>
    <t>Implementação</t>
  </si>
  <si>
    <t>1.2.06.01</t>
  </si>
  <si>
    <t>Implementação de Casos de Uso (Código e Teste de Unidade)</t>
  </si>
  <si>
    <t>1.2.07</t>
  </si>
  <si>
    <t>Testes</t>
  </si>
  <si>
    <t>1.2.07.01</t>
  </si>
  <si>
    <t>Plano de Testes</t>
  </si>
  <si>
    <t>1.2.07.02</t>
  </si>
  <si>
    <t>Caso de Teste</t>
  </si>
  <si>
    <t>1.2.07.03</t>
  </si>
  <si>
    <t>Script de Teste</t>
  </si>
  <si>
    <t>1.2.07.04</t>
  </si>
  <si>
    <t>Resultados dos Testes</t>
  </si>
  <si>
    <t>1.2.08</t>
  </si>
  <si>
    <t>Implantação</t>
  </si>
  <si>
    <t>1.2.08.01</t>
  </si>
  <si>
    <t>Levantamento de Recursos de Infra-estrutura</t>
  </si>
  <si>
    <t>1.2.08.02</t>
  </si>
  <si>
    <t>Solicitação de Ambiente de Integração</t>
  </si>
  <si>
    <t>1.2.08.03</t>
  </si>
  <si>
    <t>Solicitação de Base de Dados de Integração</t>
  </si>
  <si>
    <t>1.2.08.04</t>
  </si>
  <si>
    <t>Publicação em Integração</t>
  </si>
  <si>
    <t>1.2.08.05</t>
  </si>
  <si>
    <t>Solicitação de Ambiente de Homologação</t>
  </si>
  <si>
    <t>1.2.08.06</t>
  </si>
  <si>
    <t>Solicitação de Base de Dados de Homologação</t>
  </si>
  <si>
    <t>1.2.08.07</t>
  </si>
  <si>
    <t>Publicação em Homologação</t>
  </si>
  <si>
    <t>1.2.08.08</t>
  </si>
  <si>
    <t>Solicitação de Ambiente de Produção</t>
  </si>
  <si>
    <t>1.2.08.09</t>
  </si>
  <si>
    <t>Solicitação de Base de Dados de Produção</t>
  </si>
  <si>
    <t>1.2.08.10</t>
  </si>
  <si>
    <t>Publicação em Produção</t>
  </si>
  <si>
    <t>1.2.08.11</t>
  </si>
  <si>
    <t>Elaborar Material de Suporte ao Usuário</t>
  </si>
  <si>
    <t>1.2.09</t>
  </si>
  <si>
    <t>Gerência de Configuração e Mudança</t>
  </si>
  <si>
    <t>1.2.09.01</t>
  </si>
  <si>
    <t>Repositório do Projeto</t>
  </si>
  <si>
    <t>1.2.09.02</t>
  </si>
  <si>
    <t>Plano de Gerência de Configuração</t>
  </si>
  <si>
    <t>1.2.09.03</t>
  </si>
  <si>
    <t>Linha de Base dos Artefatos</t>
  </si>
  <si>
    <t>1.2.10</t>
  </si>
  <si>
    <t>Garantia da Qualidade</t>
  </si>
  <si>
    <t>1.2.10.01</t>
  </si>
  <si>
    <t>Revisão Interna de Qualidade dos Artefatos</t>
  </si>
  <si>
    <t>1.2.11</t>
  </si>
  <si>
    <t>Ambiente</t>
  </si>
  <si>
    <t>1.2.11.01</t>
  </si>
  <si>
    <t>Preparação do Ambiente de Desenvolvimento</t>
  </si>
  <si>
    <t>1.2.11.02</t>
  </si>
  <si>
    <t>Site do Projeto</t>
  </si>
  <si>
    <t>1.3</t>
  </si>
  <si>
    <t>1.3.01</t>
  </si>
  <si>
    <t>1.3.01.01</t>
  </si>
  <si>
    <t>1.3.02</t>
  </si>
  <si>
    <t>1.3.02.01</t>
  </si>
  <si>
    <t>1.3.02.02</t>
  </si>
  <si>
    <t>1.3.02.03</t>
  </si>
  <si>
    <t>Outros Custos</t>
  </si>
  <si>
    <t>Administração</t>
  </si>
  <si>
    <t>Atividades Administrativas e Gerenciais</t>
  </si>
  <si>
    <t>Treinamentos</t>
  </si>
  <si>
    <t>Capacitação para Execução de Demandas</t>
  </si>
  <si>
    <t>Treinamentos Recebidos</t>
  </si>
  <si>
    <t>Treinamentos Ministrados</t>
  </si>
  <si>
    <t>Fases: [P] – EPP; [C] – Concepção; [E] – Elaboração; [I] – Construção; [T] - Transição</t>
  </si>
  <si>
    <t>Início Previsto</t>
  </si>
  <si>
    <t>*** Fim de Relatório</t>
  </si>
  <si>
    <t>Cronograma</t>
  </si>
  <si>
    <t>Planejado até a Data</t>
  </si>
  <si>
    <t>Valor Agregado</t>
  </si>
  <si>
    <t>Executado até a Data</t>
  </si>
  <si>
    <t>Variação no Cronograma</t>
  </si>
  <si>
    <t>Variação no Custo</t>
  </si>
  <si>
    <t>SPI</t>
  </si>
  <si>
    <t>CPI</t>
  </si>
  <si>
    <t>Análise de Valor Agregado</t>
  </si>
  <si>
    <t>Esforço (homens-hora)</t>
  </si>
  <si>
    <r>
      <t>§</t>
    </r>
    <r>
      <rPr>
        <sz val="7"/>
        <color indexed="23"/>
        <rFont val="Times New Roman"/>
        <family val="1"/>
      </rPr>
      <t xml:space="preserve">         </t>
    </r>
    <r>
      <rPr>
        <b/>
        <sz val="8"/>
        <rFont val="Arial"/>
        <family val="2"/>
      </rPr>
      <t>Valor Planejado ou PV (Planned Value)</t>
    </r>
    <r>
      <rPr>
        <sz val="8"/>
        <rFont val="Arial"/>
        <family val="2"/>
      </rPr>
      <t xml:space="preserve"> – representa o total de homens-hora planejados para terem sido executados até o momento, de acordo com a última </t>
    </r>
    <r>
      <rPr>
        <i/>
        <sz val="8"/>
        <rFont val="Arial"/>
        <family val="2"/>
      </rPr>
      <t>baseline</t>
    </r>
    <r>
      <rPr>
        <sz val="8"/>
        <rFont val="Arial"/>
        <family val="2"/>
      </rPr>
      <t xml:space="preserve"> aprovada do projeto.</t>
    </r>
  </si>
  <si>
    <r>
      <t>§</t>
    </r>
    <r>
      <rPr>
        <sz val="7"/>
        <color indexed="23"/>
        <rFont val="Times New Roman"/>
        <family val="1"/>
      </rPr>
      <t xml:space="preserve">         </t>
    </r>
    <r>
      <rPr>
        <b/>
        <sz val="8"/>
        <rFont val="Arial"/>
        <family val="2"/>
      </rPr>
      <t>Schedule Performance Index (SPI)</t>
    </r>
    <r>
      <rPr>
        <sz val="8"/>
        <rFont val="Arial"/>
        <family val="2"/>
      </rPr>
      <t xml:space="preserve"> –  é o quociente da divisão entre o Valor Agregado (EV) e o Valor Planejado (PV), ou seja,
</t>
    </r>
    <r>
      <rPr>
        <b/>
        <sz val="8"/>
        <rFont val="Arial"/>
        <family val="2"/>
      </rPr>
      <t>SPI = EV / PV</t>
    </r>
    <r>
      <rPr>
        <sz val="8"/>
        <rFont val="Arial"/>
        <family val="2"/>
      </rPr>
      <t xml:space="preserve">, onde
</t>
    </r>
    <r>
      <rPr>
        <b/>
        <sz val="8"/>
        <rFont val="Arial"/>
        <family val="2"/>
      </rPr>
      <t>SPI &gt; 1</t>
    </r>
    <r>
      <rPr>
        <sz val="8"/>
        <rFont val="Arial"/>
        <family val="2"/>
      </rPr>
      <t xml:space="preserve"> indica que o projeto está adiantado e
</t>
    </r>
    <r>
      <rPr>
        <b/>
        <sz val="8"/>
        <rFont val="Arial"/>
        <family val="2"/>
      </rPr>
      <t>SPI &lt; 1</t>
    </r>
    <r>
      <rPr>
        <sz val="8"/>
        <rFont val="Arial"/>
        <family val="2"/>
      </rPr>
      <t xml:space="preserve"> indica que o projeto está atrasado.
</t>
    </r>
  </si>
  <si>
    <r>
      <t>§</t>
    </r>
    <r>
      <rPr>
        <sz val="7"/>
        <color indexed="23"/>
        <rFont val="Times New Roman"/>
        <family val="1"/>
      </rPr>
      <t xml:space="preserve">         </t>
    </r>
    <r>
      <rPr>
        <b/>
        <sz val="8"/>
        <rFont val="Arial"/>
        <family val="2"/>
      </rPr>
      <t>Valor Agregado ou EV (Earned Value)</t>
    </r>
    <r>
      <rPr>
        <sz val="8"/>
        <rFont val="Arial"/>
        <family val="2"/>
      </rPr>
      <t xml:space="preserve"> – é o total de homens-hora agregados ao projeto até a data. O valor é relativo ao total planejado para o projeto ou pacote. O EV é calculado para cada produto, sendo esses valores somados para fornecer o EV total do projeto. 
        O valor agregado por produto é o resultado do somatório das horas planejadas dos seus pacotes de trabalho iniciados (agrega 50% do total de horas planejadas) e concluídos (agrega 100% do total de horas planejadas).</t>
    </r>
  </si>
  <si>
    <r>
      <t>§</t>
    </r>
    <r>
      <rPr>
        <sz val="7"/>
        <color indexed="23"/>
        <rFont val="Times New Roman"/>
        <family val="1"/>
      </rPr>
      <t xml:space="preserve">         </t>
    </r>
    <r>
      <rPr>
        <b/>
        <sz val="8"/>
        <rFont val="Arial"/>
        <family val="2"/>
      </rPr>
      <t>Custo Real ou AC (Actual Cost)</t>
    </r>
    <r>
      <rPr>
        <sz val="8"/>
        <rFont val="Arial"/>
        <family val="2"/>
      </rPr>
      <t xml:space="preserve"> –  representa o custo real do projeto em termos de homens-hora efetivamente executados. É o somatório das horas produtivas empregadas por todos os membros da equipe desde o início do projeto. Em geral, é considerada uma taxa de 7 horas (produtivas)/dia. </t>
    </r>
  </si>
  <si>
    <r>
      <t>§</t>
    </r>
    <r>
      <rPr>
        <sz val="7"/>
        <color indexed="23"/>
        <rFont val="Times New Roman"/>
        <family val="1"/>
      </rPr>
      <t xml:space="preserve">         </t>
    </r>
    <r>
      <rPr>
        <b/>
        <sz val="8"/>
        <rFont val="Arial"/>
        <family val="2"/>
      </rPr>
      <t>Variação no Cronograma ou SV (Schedule Variance)</t>
    </r>
    <r>
      <rPr>
        <sz val="8"/>
        <rFont val="Arial"/>
        <family val="2"/>
      </rPr>
      <t xml:space="preserve"> – é o resultado da subtração entre o EV e o PV. Representa o total em homens-hora que deixou de ser executado em relação ao planejado, ou o que foi realizado a mais. Portanto, 
</t>
    </r>
    <r>
      <rPr>
        <b/>
        <sz val="8"/>
        <rFont val="Arial"/>
        <family val="2"/>
      </rPr>
      <t>SV = EV – PV</t>
    </r>
    <r>
      <rPr>
        <sz val="8"/>
        <rFont val="Arial"/>
        <family val="2"/>
      </rPr>
      <t>, onde
SV &gt; 0 indica que foi gasto menos tempo do que o previsto
SV &lt; 0 indica que foi gasto mais tempo do que o previsto</t>
    </r>
  </si>
  <si>
    <r>
      <t>§</t>
    </r>
    <r>
      <rPr>
        <sz val="7"/>
        <color indexed="23"/>
        <rFont val="Times New Roman"/>
        <family val="1"/>
      </rPr>
      <t xml:space="preserve">         </t>
    </r>
    <r>
      <rPr>
        <b/>
        <sz val="8"/>
        <rFont val="Arial"/>
        <family val="2"/>
      </rPr>
      <t>Variação no Custo ou CV (Cost Variance)</t>
    </r>
    <r>
      <rPr>
        <sz val="8"/>
        <rFont val="Arial"/>
        <family val="2"/>
      </rPr>
      <t xml:space="preserve"> – é o resultado da substração entre o EV e o AC. Representa a variação do custo do projeto em relação ao montante de recursos empregados na execução do mesmo. Deste modo, 
</t>
    </r>
    <r>
      <rPr>
        <b/>
        <sz val="8"/>
        <rFont val="Arial"/>
        <family val="2"/>
      </rPr>
      <t>CV = EV – AC</t>
    </r>
    <r>
      <rPr>
        <sz val="8"/>
        <rFont val="Arial"/>
        <family val="2"/>
      </rPr>
      <t xml:space="preserve">, onde
</t>
    </r>
    <r>
      <rPr>
        <b/>
        <sz val="8"/>
        <rFont val="Arial"/>
        <family val="2"/>
      </rPr>
      <t>CV &gt; 0</t>
    </r>
    <r>
      <rPr>
        <sz val="8"/>
        <rFont val="Arial"/>
        <family val="2"/>
      </rPr>
      <t xml:space="preserve"> indica que foi gasto menos homens-hora do que o previsto e
CV &lt; 0 indica que foi gasto mais homens-hora do que o previsto.</t>
    </r>
  </si>
  <si>
    <r>
      <t>§</t>
    </r>
    <r>
      <rPr>
        <sz val="7"/>
        <color indexed="23"/>
        <rFont val="Times New Roman"/>
        <family val="1"/>
      </rPr>
      <t xml:space="preserve">         </t>
    </r>
    <r>
      <rPr>
        <b/>
        <sz val="8"/>
        <rFont val="Arial"/>
        <family val="2"/>
      </rPr>
      <t>Cost Performance Index (CPI)</t>
    </r>
    <r>
      <rPr>
        <sz val="8"/>
        <rFont val="Arial"/>
        <family val="2"/>
      </rPr>
      <t xml:space="preserve"> –  é o quociente da divisão entre o Valor Agregado (EV) e o Custo Real (AC), ou seja,
</t>
    </r>
    <r>
      <rPr>
        <b/>
        <sz val="8"/>
        <rFont val="Arial"/>
        <family val="2"/>
      </rPr>
      <t>CPI = EV / AC</t>
    </r>
    <r>
      <rPr>
        <sz val="8"/>
        <rFont val="Arial"/>
        <family val="2"/>
      </rPr>
      <t xml:space="preserve">, onde
</t>
    </r>
    <r>
      <rPr>
        <b/>
        <sz val="8"/>
        <rFont val="Arial"/>
        <family val="2"/>
      </rPr>
      <t>CPI &gt; 1</t>
    </r>
    <r>
      <rPr>
        <sz val="8"/>
        <rFont val="Arial"/>
        <family val="2"/>
      </rPr>
      <t xml:space="preserve"> indica que o projeto está mais barato do que a média esperada para a fábrica e
</t>
    </r>
    <r>
      <rPr>
        <b/>
        <sz val="8"/>
        <rFont val="Arial"/>
        <family val="2"/>
      </rPr>
      <t>CPI &lt; 1</t>
    </r>
    <r>
      <rPr>
        <sz val="8"/>
        <rFont val="Arial"/>
        <family val="2"/>
      </rPr>
      <t xml:space="preserve"> indica que o projeto está custando mais do que a média esperada.</t>
    </r>
  </si>
  <si>
    <t>Total Planejado</t>
  </si>
  <si>
    <t>Produto</t>
  </si>
  <si>
    <t>Fim
Previsto</t>
  </si>
  <si>
    <t>Início
Real</t>
  </si>
  <si>
    <t>Fim
Real</t>
  </si>
  <si>
    <t>Data base</t>
  </si>
  <si>
    <t>Resumo do Projeto</t>
  </si>
  <si>
    <t>Projeto:</t>
  </si>
  <si>
    <t>Planejamento de Projeto</t>
  </si>
  <si>
    <t>Relatório de Situação</t>
  </si>
  <si>
    <t>Parâmetros para Planejamento do Projeto</t>
  </si>
  <si>
    <t>Data base do último relatório:</t>
  </si>
  <si>
    <t>Data de início real</t>
  </si>
  <si>
    <r>
      <t xml:space="preserve">Data </t>
    </r>
    <r>
      <rPr>
        <b/>
        <sz val="8"/>
        <color indexed="10"/>
        <rFont val="Arial"/>
        <family val="2"/>
      </rPr>
      <t>alvo</t>
    </r>
    <r>
      <rPr>
        <sz val="8"/>
        <rFont val="Arial"/>
        <family val="2"/>
      </rPr>
      <t xml:space="preserve"> para entrega</t>
    </r>
  </si>
  <si>
    <r>
      <t xml:space="preserve">Data </t>
    </r>
    <r>
      <rPr>
        <b/>
        <sz val="8"/>
        <color indexed="10"/>
        <rFont val="Arial"/>
        <family val="2"/>
      </rPr>
      <t>prevista</t>
    </r>
    <r>
      <rPr>
        <sz val="8"/>
        <rFont val="Arial"/>
        <family val="2"/>
      </rPr>
      <t xml:space="preserve"> para entrega</t>
    </r>
  </si>
  <si>
    <t>Nº de desenvolvedores:</t>
  </si>
  <si>
    <t>Estimativa na Conclusão</t>
  </si>
  <si>
    <t>Planejado até a data</t>
  </si>
  <si>
    <t>Executado até a data</t>
  </si>
  <si>
    <t>Início
Previsto</t>
  </si>
  <si>
    <t>Estimativa atualizada de esforço</t>
  </si>
  <si>
    <t>Agregado até a Data</t>
  </si>
  <si>
    <t>Data de início prevista</t>
  </si>
  <si>
    <t>Data</t>
  </si>
  <si>
    <t>Versão</t>
  </si>
  <si>
    <t>Responsável</t>
  </si>
  <si>
    <t>Descrição da Versão</t>
  </si>
  <si>
    <t>Histórico de Versões do Plano de Projeto</t>
  </si>
  <si>
    <t>Nº de artefatos concluídos</t>
  </si>
  <si>
    <t>(%) de conclusão</t>
  </si>
  <si>
    <t>Escopo</t>
  </si>
  <si>
    <t>Esforço Total Planejado</t>
  </si>
  <si>
    <t>Esforço total planejado (linha base)</t>
  </si>
  <si>
    <t>Destaques da Semana</t>
  </si>
  <si>
    <t>Total do Projeto</t>
  </si>
  <si>
    <t>Recursos Humanos</t>
  </si>
  <si>
    <t>Bacen</t>
  </si>
  <si>
    <t>Cast</t>
  </si>
  <si>
    <t>Desenvolvimento e Manutenção de Software</t>
  </si>
  <si>
    <t>Previsto</t>
  </si>
  <si>
    <t>Esforço</t>
  </si>
  <si>
    <t>Histórico de Desempenho</t>
  </si>
  <si>
    <t>Mês</t>
  </si>
  <si>
    <t>Realizado</t>
  </si>
  <si>
    <t>Cronograma de Desembolso Mensal (R$)</t>
  </si>
  <si>
    <t>Junho</t>
  </si>
  <si>
    <t>R$</t>
  </si>
  <si>
    <t>Informações por Produto</t>
  </si>
  <si>
    <t>Diego</t>
  </si>
  <si>
    <t>Maio</t>
  </si>
  <si>
    <r>
      <t>§</t>
    </r>
    <r>
      <rPr>
        <sz val="7"/>
        <color indexed="23"/>
        <rFont val="Times New Roman"/>
        <family val="1"/>
      </rPr>
      <t xml:space="preserve">         </t>
    </r>
    <r>
      <rPr>
        <b/>
        <sz val="8"/>
        <rFont val="Arial"/>
        <family val="2"/>
      </rPr>
      <t>Quality Performance Index (QPI)</t>
    </r>
    <r>
      <rPr>
        <sz val="8"/>
        <rFont val="Arial"/>
        <family val="2"/>
      </rPr>
      <t xml:space="preserve"> –  é a relação entre o esforço total de desenvolvimento até a presente iteração (n) versus o somatório deste valor com as correções identificadas na mesma iteração:
QPI = ∑ED(1..n) / (∑ED(1..n) + EC(n))
QPI = 1 indica que nenhum defeito foi encontrado, ou seja, quanto mais próximo de 1, maior a qualidade do produto.</t>
    </r>
  </si>
  <si>
    <t>1.3.03</t>
  </si>
  <si>
    <t>1.3.03.01</t>
  </si>
  <si>
    <t>Controle de Desvios</t>
  </si>
  <si>
    <t>Total de pacotes de trabalho</t>
  </si>
  <si>
    <t>Nº de Pacotes Trabalho</t>
  </si>
  <si>
    <t>1.3.04</t>
  </si>
  <si>
    <t>1.3.04.01</t>
  </si>
  <si>
    <t xml:space="preserve">Capacitação </t>
  </si>
  <si>
    <t>War</t>
  </si>
  <si>
    <t>Análise e Projeto de Software</t>
  </si>
  <si>
    <t>Vlr. US:</t>
  </si>
  <si>
    <t>US</t>
  </si>
  <si>
    <t>Erick</t>
  </si>
  <si>
    <t>David</t>
  </si>
  <si>
    <t>Custo Médio (em US)</t>
  </si>
  <si>
    <t>Abril</t>
  </si>
  <si>
    <t>US Previstas</t>
  </si>
  <si>
    <t>US Executadas</t>
  </si>
  <si>
    <t>Elaboração - Iteração 1</t>
  </si>
  <si>
    <t>1.2.04 - Requisitos</t>
  </si>
  <si>
    <t>1.2.04.04 - Especificações de Casos de Uso</t>
  </si>
  <si>
    <t>UC10 - Trocar cartas território</t>
  </si>
  <si>
    <t>UC09 - Fazer jogada</t>
  </si>
  <si>
    <t>UC12 - Reposicionar Exército</t>
  </si>
  <si>
    <t>UC11 - Atacar Território</t>
  </si>
  <si>
    <t>UC14 - Povoar Território Conquistado</t>
  </si>
  <si>
    <t>1.2.05 - Análise e Projeto</t>
  </si>
  <si>
    <t>1.2.05.01 - MAP – Modelo de Análise e Projeto</t>
  </si>
  <si>
    <t>1.2.06.01 - Implementação de Casos de Uso (Código e Teste de Unidade)</t>
  </si>
  <si>
    <t>Diagrama de classes conceitual</t>
  </si>
  <si>
    <t>Diagrama de classes de projeto</t>
  </si>
  <si>
    <t>Snapshot</t>
  </si>
  <si>
    <t>Equipe</t>
  </si>
  <si>
    <t>1.2.06 - Implementação</t>
  </si>
  <si>
    <t>Início do projeto</t>
  </si>
  <si>
    <t>Id</t>
  </si>
  <si>
    <t>Gerenciamento do projeto</t>
  </si>
  <si>
    <t>1.2.01 - Gerenciamento de projeto</t>
  </si>
  <si>
    <t>1.2.01.03 - Plano do Projeto (Criação e Revisão)</t>
  </si>
  <si>
    <t>Diagrama de colaboração/Sequência</t>
  </si>
</sst>
</file>

<file path=xl/styles.xml><?xml version="1.0" encoding="utf-8"?>
<styleSheet xmlns="http://schemas.openxmlformats.org/spreadsheetml/2006/main">
  <numFmts count="3">
    <numFmt numFmtId="164" formatCode="&quot;R$ &quot;#,##0.00"/>
    <numFmt numFmtId="165" formatCode="0.0%"/>
    <numFmt numFmtId="166" formatCode="#,##0.0"/>
  </numFmts>
  <fonts count="32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0"/>
      <color indexed="12"/>
      <name val="Arial"/>
      <family val="2"/>
    </font>
    <font>
      <b/>
      <sz val="8"/>
      <color indexed="62"/>
      <name val="Arial"/>
      <family val="2"/>
    </font>
    <font>
      <b/>
      <sz val="10"/>
      <color indexed="62"/>
      <name val="Arial"/>
      <family val="2"/>
    </font>
    <font>
      <sz val="8"/>
      <color indexed="22"/>
      <name val="Arial"/>
      <family val="2"/>
    </font>
    <font>
      <sz val="8"/>
      <color indexed="81"/>
      <name val="Tahoma"/>
      <family val="2"/>
    </font>
    <font>
      <sz val="8"/>
      <color indexed="81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7"/>
      <color indexed="23"/>
      <name val="Times New Roman"/>
      <family val="1"/>
    </font>
    <font>
      <sz val="10"/>
      <color indexed="23"/>
      <name val="Wingdings"/>
      <charset val="2"/>
    </font>
    <font>
      <i/>
      <sz val="8"/>
      <name val="Arial"/>
      <family val="2"/>
    </font>
    <font>
      <sz val="9"/>
      <color indexed="62"/>
      <name val="Verdana"/>
      <family val="2"/>
    </font>
    <font>
      <sz val="8"/>
      <color indexed="62"/>
      <name val="Arial"/>
      <family val="2"/>
    </font>
    <font>
      <b/>
      <sz val="11"/>
      <color indexed="62"/>
      <name val="Arial"/>
      <family val="2"/>
    </font>
    <font>
      <sz val="10"/>
      <color indexed="62"/>
      <name val="Arial"/>
      <family val="2"/>
    </font>
    <font>
      <sz val="9"/>
      <color indexed="62"/>
      <name val="Arial"/>
      <family val="2"/>
    </font>
    <font>
      <b/>
      <sz val="9"/>
      <color indexed="62"/>
      <name val="Arial"/>
      <family val="2"/>
    </font>
    <font>
      <b/>
      <sz val="8"/>
      <color indexed="10"/>
      <name val="Arial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2"/>
      <color indexed="25"/>
      <name val="Arial"/>
      <family val="2"/>
    </font>
    <font>
      <sz val="9"/>
      <name val="Arial"/>
      <family val="2"/>
    </font>
    <font>
      <b/>
      <sz val="9"/>
      <color indexed="54"/>
      <name val="Arial"/>
      <family val="2"/>
    </font>
    <font>
      <b/>
      <sz val="11"/>
      <color indexed="61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ck">
        <color indexed="55"/>
      </bottom>
      <diagonal/>
    </border>
    <border>
      <left/>
      <right style="thin">
        <color indexed="55"/>
      </right>
      <top/>
      <bottom style="thick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62"/>
      </bottom>
      <diagonal/>
    </border>
    <border>
      <left/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4"/>
      </left>
      <right style="thin">
        <color indexed="54"/>
      </right>
      <top/>
      <bottom style="thin">
        <color indexed="54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55"/>
      </left>
      <right/>
      <top/>
      <bottom style="thin">
        <color indexed="55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27">
    <xf numFmtId="0" fontId="0" fillId="0" borderId="0" xfId="0"/>
    <xf numFmtId="0" fontId="3" fillId="2" borderId="2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/>
    </xf>
    <xf numFmtId="0" fontId="3" fillId="5" borderId="2" xfId="0" applyFont="1" applyFill="1" applyBorder="1" applyAlignment="1">
      <alignment horizontal="center" vertical="top"/>
    </xf>
    <xf numFmtId="0" fontId="3" fillId="6" borderId="2" xfId="0" applyFont="1" applyFill="1" applyBorder="1" applyAlignment="1">
      <alignment horizontal="center" vertical="top"/>
    </xf>
    <xf numFmtId="0" fontId="4" fillId="0" borderId="3" xfId="0" applyFont="1" applyBorder="1" applyAlignment="1">
      <alignment horizontal="justify" vertical="top"/>
    </xf>
    <xf numFmtId="0" fontId="4" fillId="0" borderId="2" xfId="0" applyFont="1" applyBorder="1" applyAlignment="1">
      <alignment horizontal="justify" vertical="top"/>
    </xf>
    <xf numFmtId="0" fontId="1" fillId="0" borderId="2" xfId="0" applyFont="1" applyBorder="1" applyAlignment="1">
      <alignment horizontal="center" vertical="top"/>
    </xf>
    <xf numFmtId="0" fontId="3" fillId="0" borderId="4" xfId="0" applyFont="1" applyBorder="1" applyAlignment="1">
      <alignment horizontal="justify" vertical="top"/>
    </xf>
    <xf numFmtId="0" fontId="3" fillId="0" borderId="5" xfId="0" applyFont="1" applyBorder="1" applyAlignment="1">
      <alignment horizontal="justify" vertical="top"/>
    </xf>
    <xf numFmtId="0" fontId="1" fillId="0" borderId="5" xfId="0" applyFont="1" applyBorder="1" applyAlignment="1">
      <alignment horizontal="center" vertical="top"/>
    </xf>
    <xf numFmtId="0" fontId="6" fillId="0" borderId="3" xfId="0" applyFont="1" applyBorder="1" applyAlignment="1">
      <alignment horizontal="justify" vertical="top"/>
    </xf>
    <xf numFmtId="0" fontId="6" fillId="0" borderId="2" xfId="0" applyFont="1" applyBorder="1" applyAlignment="1">
      <alignment horizontal="justify" vertical="top"/>
    </xf>
    <xf numFmtId="0" fontId="6" fillId="2" borderId="5" xfId="0" applyFont="1" applyFill="1" applyBorder="1" applyAlignment="1">
      <alignment horizontal="center" vertical="top"/>
    </xf>
    <xf numFmtId="0" fontId="6" fillId="3" borderId="5" xfId="0" applyFont="1" applyFill="1" applyBorder="1" applyAlignment="1">
      <alignment horizontal="center" vertical="top"/>
    </xf>
    <xf numFmtId="0" fontId="6" fillId="4" borderId="5" xfId="0" applyFont="1" applyFill="1" applyBorder="1" applyAlignment="1">
      <alignment horizontal="center" vertical="top"/>
    </xf>
    <xf numFmtId="0" fontId="6" fillId="5" borderId="5" xfId="0" applyFont="1" applyFill="1" applyBorder="1" applyAlignment="1">
      <alignment horizontal="center" vertical="top"/>
    </xf>
    <xf numFmtId="0" fontId="6" fillId="6" borderId="5" xfId="0" applyFont="1" applyFill="1" applyBorder="1" applyAlignment="1">
      <alignment horizontal="center" vertical="top"/>
    </xf>
    <xf numFmtId="0" fontId="6" fillId="2" borderId="2" xfId="0" applyFont="1" applyFill="1" applyBorder="1" applyAlignment="1">
      <alignment horizontal="center" vertical="top"/>
    </xf>
    <xf numFmtId="0" fontId="6" fillId="3" borderId="2" xfId="0" applyFont="1" applyFill="1" applyBorder="1" applyAlignment="1">
      <alignment horizontal="center" vertical="top"/>
    </xf>
    <xf numFmtId="0" fontId="6" fillId="4" borderId="2" xfId="0" applyFont="1" applyFill="1" applyBorder="1" applyAlignment="1">
      <alignment horizontal="center" vertical="top"/>
    </xf>
    <xf numFmtId="0" fontId="6" fillId="5" borderId="2" xfId="0" applyFont="1" applyFill="1" applyBorder="1" applyAlignment="1">
      <alignment horizontal="center" vertical="top"/>
    </xf>
    <xf numFmtId="0" fontId="6" fillId="6" borderId="2" xfId="0" applyFont="1" applyFill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4" xfId="0" applyFont="1" applyBorder="1" applyAlignment="1">
      <alignment horizontal="justify" vertical="top"/>
    </xf>
    <xf numFmtId="0" fontId="6" fillId="0" borderId="5" xfId="0" applyFont="1" applyBorder="1" applyAlignment="1">
      <alignment horizontal="justify" vertical="top"/>
    </xf>
    <xf numFmtId="0" fontId="6" fillId="0" borderId="5" xfId="0" applyFont="1" applyBorder="1" applyAlignment="1">
      <alignment horizontal="center" vertical="top"/>
    </xf>
    <xf numFmtId="0" fontId="7" fillId="0" borderId="0" xfId="0" applyFont="1"/>
    <xf numFmtId="0" fontId="5" fillId="7" borderId="6" xfId="0" applyFont="1" applyFill="1" applyBorder="1" applyAlignment="1">
      <alignment horizontal="justify" vertical="top"/>
    </xf>
    <xf numFmtId="0" fontId="5" fillId="7" borderId="7" xfId="0" applyFont="1" applyFill="1" applyBorder="1" applyAlignment="1">
      <alignment horizontal="justify" vertical="top"/>
    </xf>
    <xf numFmtId="0" fontId="1" fillId="7" borderId="7" xfId="0" applyFont="1" applyFill="1" applyBorder="1" applyAlignment="1">
      <alignment horizontal="center" vertical="top"/>
    </xf>
    <xf numFmtId="0" fontId="5" fillId="7" borderId="3" xfId="0" applyFont="1" applyFill="1" applyBorder="1" applyAlignment="1">
      <alignment horizontal="justify" vertical="top"/>
    </xf>
    <xf numFmtId="0" fontId="5" fillId="7" borderId="2" xfId="0" applyFont="1" applyFill="1" applyBorder="1" applyAlignment="1">
      <alignment horizontal="justify" vertical="top"/>
    </xf>
    <xf numFmtId="0" fontId="1" fillId="7" borderId="2" xfId="0" applyFont="1" applyFill="1" applyBorder="1" applyAlignment="1">
      <alignment horizontal="center" vertical="top"/>
    </xf>
    <xf numFmtId="0" fontId="2" fillId="0" borderId="0" xfId="0" applyFont="1"/>
    <xf numFmtId="0" fontId="6" fillId="0" borderId="0" xfId="0" applyFont="1"/>
    <xf numFmtId="0" fontId="6" fillId="0" borderId="6" xfId="0" applyFont="1" applyBorder="1"/>
    <xf numFmtId="0" fontId="6" fillId="0" borderId="0" xfId="0" applyFont="1" applyAlignment="1">
      <alignment horizontal="right"/>
    </xf>
    <xf numFmtId="0" fontId="6" fillId="0" borderId="0" xfId="0" quotePrefix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6" fillId="0" borderId="6" xfId="0" applyFont="1" applyBorder="1" applyAlignment="1">
      <alignment horizontal="center" wrapText="1"/>
    </xf>
    <xf numFmtId="14" fontId="6" fillId="0" borderId="6" xfId="0" applyNumberFormat="1" applyFont="1" applyBorder="1"/>
    <xf numFmtId="0" fontId="10" fillId="0" borderId="8" xfId="0" applyFont="1" applyBorder="1" applyAlignment="1">
      <alignment horizontal="justify" vertical="top"/>
    </xf>
    <xf numFmtId="14" fontId="9" fillId="0" borderId="8" xfId="0" applyNumberFormat="1" applyFont="1" applyBorder="1"/>
    <xf numFmtId="0" fontId="11" fillId="0" borderId="0" xfId="0" applyFont="1"/>
    <xf numFmtId="0" fontId="6" fillId="0" borderId="9" xfId="0" applyFont="1" applyBorder="1" applyAlignment="1"/>
    <xf numFmtId="0" fontId="14" fillId="0" borderId="0" xfId="0" applyFont="1"/>
    <xf numFmtId="0" fontId="15" fillId="0" borderId="0" xfId="0" applyFont="1"/>
    <xf numFmtId="0" fontId="4" fillId="0" borderId="0" xfId="0" applyFont="1"/>
    <xf numFmtId="0" fontId="17" fillId="0" borderId="0" xfId="0" applyFont="1" applyAlignment="1">
      <alignment horizontal="left" vertical="top" wrapText="1" indent="2"/>
    </xf>
    <xf numFmtId="0" fontId="0" fillId="0" borderId="0" xfId="0" applyAlignment="1">
      <alignment vertical="top" wrapText="1"/>
    </xf>
    <xf numFmtId="0" fontId="17" fillId="0" borderId="0" xfId="0" applyFont="1" applyAlignment="1">
      <alignment horizontal="left" indent="2"/>
    </xf>
    <xf numFmtId="0" fontId="17" fillId="0" borderId="0" xfId="0" applyFont="1" applyAlignment="1">
      <alignment horizontal="left" wrapText="1" indent="2"/>
    </xf>
    <xf numFmtId="0" fontId="0" fillId="0" borderId="0" xfId="0" applyAlignment="1">
      <alignment wrapText="1"/>
    </xf>
    <xf numFmtId="0" fontId="6" fillId="0" borderId="0" xfId="0" applyFont="1" applyAlignment="1">
      <alignment horizontal="left" indent="3"/>
    </xf>
    <xf numFmtId="0" fontId="19" fillId="0" borderId="0" xfId="0" applyFont="1" applyBorder="1"/>
    <xf numFmtId="0" fontId="19" fillId="0" borderId="1" xfId="0" applyFont="1" applyBorder="1"/>
    <xf numFmtId="0" fontId="6" fillId="0" borderId="7" xfId="0" applyFont="1" applyBorder="1" applyAlignment="1">
      <alignment horizontal="center" wrapText="1"/>
    </xf>
    <xf numFmtId="2" fontId="19" fillId="0" borderId="0" xfId="0" applyNumberFormat="1" applyFont="1" applyBorder="1"/>
    <xf numFmtId="2" fontId="19" fillId="0" borderId="1" xfId="0" applyNumberFormat="1" applyFont="1" applyBorder="1"/>
    <xf numFmtId="2" fontId="6" fillId="0" borderId="0" xfId="0" applyNumberFormat="1" applyFont="1"/>
    <xf numFmtId="2" fontId="6" fillId="0" borderId="6" xfId="0" applyNumberFormat="1" applyFont="1" applyBorder="1" applyAlignment="1">
      <alignment horizontal="center" wrapText="1"/>
    </xf>
    <xf numFmtId="2" fontId="6" fillId="0" borderId="0" xfId="0" applyNumberFormat="1" applyFont="1" applyBorder="1" applyAlignment="1">
      <alignment horizontal="center"/>
    </xf>
    <xf numFmtId="2" fontId="6" fillId="0" borderId="6" xfId="0" applyNumberFormat="1" applyFont="1" applyBorder="1"/>
    <xf numFmtId="1" fontId="19" fillId="0" borderId="0" xfId="0" applyNumberFormat="1" applyFont="1" applyBorder="1"/>
    <xf numFmtId="1" fontId="19" fillId="0" borderId="1" xfId="0" applyNumberFormat="1" applyFont="1" applyBorder="1"/>
    <xf numFmtId="1" fontId="6" fillId="0" borderId="0" xfId="0" applyNumberFormat="1" applyFont="1"/>
    <xf numFmtId="1" fontId="6" fillId="0" borderId="6" xfId="0" applyNumberFormat="1" applyFont="1" applyBorder="1" applyAlignment="1">
      <alignment horizontal="center" wrapText="1"/>
    </xf>
    <xf numFmtId="1" fontId="6" fillId="0" borderId="0" xfId="0" applyNumberFormat="1" applyFont="1" applyBorder="1" applyAlignment="1">
      <alignment horizontal="center"/>
    </xf>
    <xf numFmtId="0" fontId="6" fillId="0" borderId="3" xfId="0" applyFont="1" applyBorder="1" applyAlignment="1"/>
    <xf numFmtId="0" fontId="6" fillId="0" borderId="10" xfId="0" applyFont="1" applyBorder="1" applyAlignment="1"/>
    <xf numFmtId="14" fontId="3" fillId="0" borderId="6" xfId="0" applyNumberFormat="1" applyFont="1" applyBorder="1"/>
    <xf numFmtId="0" fontId="6" fillId="0" borderId="7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6" xfId="0" applyFont="1" applyBorder="1" applyAlignment="1">
      <alignment horizontal="left" vertical="top" indent="2"/>
    </xf>
    <xf numFmtId="0" fontId="3" fillId="0" borderId="6" xfId="0" applyFont="1" applyBorder="1" applyAlignment="1">
      <alignment horizontal="left" vertical="top" indent="1"/>
    </xf>
    <xf numFmtId="0" fontId="20" fillId="0" borderId="1" xfId="0" applyFont="1" applyBorder="1"/>
    <xf numFmtId="0" fontId="21" fillId="0" borderId="0" xfId="0" applyFont="1" applyBorder="1"/>
    <xf numFmtId="0" fontId="22" fillId="0" borderId="1" xfId="0" applyFont="1" applyBorder="1"/>
    <xf numFmtId="2" fontId="22" fillId="0" borderId="0" xfId="0" applyNumberFormat="1" applyFont="1" applyBorder="1" applyAlignment="1">
      <alignment horizontal="right"/>
    </xf>
    <xf numFmtId="0" fontId="6" fillId="0" borderId="10" xfId="0" applyFont="1" applyBorder="1"/>
    <xf numFmtId="0" fontId="6" fillId="0" borderId="3" xfId="0" applyFont="1" applyBorder="1"/>
    <xf numFmtId="0" fontId="3" fillId="0" borderId="3" xfId="0" applyFont="1" applyBorder="1" applyAlignment="1"/>
    <xf numFmtId="0" fontId="3" fillId="0" borderId="7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6" fillId="0" borderId="6" xfId="0" applyFont="1" applyBorder="1" applyAlignment="1">
      <alignment horizontal="center"/>
    </xf>
    <xf numFmtId="0" fontId="6" fillId="0" borderId="0" xfId="0" applyFont="1" applyAlignment="1">
      <alignment horizontal="center"/>
    </xf>
    <xf numFmtId="3" fontId="6" fillId="0" borderId="0" xfId="0" applyNumberFormat="1" applyFont="1"/>
    <xf numFmtId="3" fontId="3" fillId="0" borderId="6" xfId="0" applyNumberFormat="1" applyFont="1" applyBorder="1" applyAlignment="1">
      <alignment horizontal="center" wrapText="1"/>
    </xf>
    <xf numFmtId="3" fontId="6" fillId="0" borderId="6" xfId="0" applyNumberFormat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14" fontId="6" fillId="0" borderId="6" xfId="0" applyNumberFormat="1" applyFont="1" applyBorder="1" applyAlignment="1">
      <alignment horizontal="center"/>
    </xf>
    <xf numFmtId="3" fontId="23" fillId="0" borderId="1" xfId="0" applyNumberFormat="1" applyFont="1" applyBorder="1" applyAlignment="1">
      <alignment horizontal="right"/>
    </xf>
    <xf numFmtId="0" fontId="23" fillId="0" borderId="1" xfId="0" applyFont="1" applyBorder="1"/>
    <xf numFmtId="3" fontId="24" fillId="0" borderId="0" xfId="0" applyNumberFormat="1" applyFont="1" applyAlignment="1">
      <alignment horizontal="right"/>
    </xf>
    <xf numFmtId="14" fontId="6" fillId="0" borderId="0" xfId="0" applyNumberFormat="1" applyFont="1"/>
    <xf numFmtId="0" fontId="3" fillId="0" borderId="0" xfId="0" applyFont="1" applyBorder="1" applyAlignment="1">
      <alignment horizontal="left"/>
    </xf>
    <xf numFmtId="3" fontId="6" fillId="0" borderId="0" xfId="0" applyNumberFormat="1" applyFont="1" applyBorder="1"/>
    <xf numFmtId="14" fontId="2" fillId="0" borderId="0" xfId="0" applyNumberFormat="1" applyFont="1" applyBorder="1"/>
    <xf numFmtId="3" fontId="3" fillId="0" borderId="0" xfId="0" applyNumberFormat="1" applyFont="1" applyBorder="1"/>
    <xf numFmtId="3" fontId="6" fillId="0" borderId="3" xfId="0" applyNumberFormat="1" applyFont="1" applyBorder="1" applyAlignment="1">
      <alignment horizontal="center" wrapText="1"/>
    </xf>
    <xf numFmtId="0" fontId="6" fillId="0" borderId="13" xfId="0" applyFont="1" applyBorder="1"/>
    <xf numFmtId="14" fontId="3" fillId="0" borderId="7" xfId="0" applyNumberFormat="1" applyFont="1" applyBorder="1"/>
    <xf numFmtId="14" fontId="6" fillId="0" borderId="6" xfId="0" applyNumberFormat="1" applyFont="1" applyBorder="1" applyAlignment="1">
      <alignment horizontal="left"/>
    </xf>
    <xf numFmtId="3" fontId="26" fillId="0" borderId="0" xfId="0" applyNumberFormat="1" applyFont="1"/>
    <xf numFmtId="0" fontId="9" fillId="8" borderId="13" xfId="0" applyFont="1" applyFill="1" applyBorder="1"/>
    <xf numFmtId="14" fontId="3" fillId="8" borderId="14" xfId="0" applyNumberFormat="1" applyFont="1" applyFill="1" applyBorder="1"/>
    <xf numFmtId="0" fontId="6" fillId="8" borderId="7" xfId="0" applyFont="1" applyFill="1" applyBorder="1"/>
    <xf numFmtId="0" fontId="6" fillId="8" borderId="14" xfId="0" applyFont="1" applyFill="1" applyBorder="1"/>
    <xf numFmtId="0" fontId="6" fillId="8" borderId="7" xfId="0" applyFont="1" applyFill="1" applyBorder="1" applyAlignment="1">
      <alignment horizontal="left"/>
    </xf>
    <xf numFmtId="166" fontId="6" fillId="0" borderId="6" xfId="0" applyNumberFormat="1" applyFont="1" applyBorder="1"/>
    <xf numFmtId="0" fontId="20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65" fontId="6" fillId="0" borderId="6" xfId="0" applyNumberFormat="1" applyFont="1" applyBorder="1" applyAlignment="1">
      <alignment horizontal="center"/>
    </xf>
    <xf numFmtId="3" fontId="6" fillId="0" borderId="6" xfId="0" applyNumberFormat="1" applyFont="1" applyBorder="1" applyAlignment="1">
      <alignment horizontal="center" vertical="center"/>
    </xf>
    <xf numFmtId="0" fontId="3" fillId="6" borderId="6" xfId="0" applyFont="1" applyFill="1" applyBorder="1" applyAlignment="1">
      <alignment horizontal="center"/>
    </xf>
    <xf numFmtId="0" fontId="3" fillId="6" borderId="6" xfId="0" applyFont="1" applyFill="1" applyBorder="1"/>
    <xf numFmtId="0" fontId="3" fillId="6" borderId="6" xfId="0" applyFont="1" applyFill="1" applyBorder="1" applyAlignment="1">
      <alignment horizontal="center" wrapText="1"/>
    </xf>
    <xf numFmtId="0" fontId="20" fillId="8" borderId="14" xfId="0" applyFont="1" applyFill="1" applyBorder="1"/>
    <xf numFmtId="0" fontId="20" fillId="8" borderId="7" xfId="0" applyFont="1" applyFill="1" applyBorder="1" applyAlignment="1">
      <alignment horizontal="left"/>
    </xf>
    <xf numFmtId="0" fontId="27" fillId="0" borderId="0" xfId="1" applyFont="1" applyAlignment="1" applyProtection="1"/>
    <xf numFmtId="14" fontId="23" fillId="0" borderId="1" xfId="0" applyNumberFormat="1" applyFont="1" applyBorder="1" applyAlignment="1">
      <alignment horizontal="right"/>
    </xf>
    <xf numFmtId="14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3" fontId="6" fillId="0" borderId="6" xfId="0" applyNumberFormat="1" applyFont="1" applyBorder="1"/>
    <xf numFmtId="0" fontId="9" fillId="8" borderId="8" xfId="0" applyFont="1" applyFill="1" applyBorder="1" applyAlignment="1">
      <alignment horizontal="left" indent="1"/>
    </xf>
    <xf numFmtId="0" fontId="10" fillId="8" borderId="8" xfId="0" applyFont="1" applyFill="1" applyBorder="1" applyAlignment="1">
      <alignment horizontal="justify"/>
    </xf>
    <xf numFmtId="14" fontId="9" fillId="8" borderId="8" xfId="0" applyNumberFormat="1" applyFont="1" applyFill="1" applyBorder="1" applyAlignment="1"/>
    <xf numFmtId="0" fontId="28" fillId="0" borderId="8" xfId="0" applyFont="1" applyBorder="1" applyAlignment="1">
      <alignment horizontal="left" indent="1"/>
    </xf>
    <xf numFmtId="0" fontId="28" fillId="0" borderId="8" xfId="0" applyFont="1" applyBorder="1" applyAlignment="1">
      <alignment vertical="top"/>
    </xf>
    <xf numFmtId="0" fontId="6" fillId="0" borderId="6" xfId="0" applyFont="1" applyFill="1" applyBorder="1" applyAlignment="1" applyProtection="1">
      <alignment horizontal="justify" vertical="top"/>
      <protection locked="0"/>
    </xf>
    <xf numFmtId="0" fontId="1" fillId="0" borderId="0" xfId="0" applyFont="1" applyAlignment="1">
      <alignment vertical="top"/>
    </xf>
    <xf numFmtId="0" fontId="1" fillId="0" borderId="0" xfId="0" applyFont="1"/>
    <xf numFmtId="0" fontId="6" fillId="0" borderId="0" xfId="0" quotePrefix="1" applyFont="1" applyAlignment="1">
      <alignment vertical="top"/>
    </xf>
    <xf numFmtId="14" fontId="15" fillId="0" borderId="0" xfId="0" applyNumberFormat="1" applyFont="1"/>
    <xf numFmtId="0" fontId="29" fillId="0" borderId="15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14" fontId="15" fillId="0" borderId="16" xfId="0" applyNumberFormat="1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30" fillId="0" borderId="0" xfId="0" applyFont="1"/>
    <xf numFmtId="0" fontId="4" fillId="0" borderId="16" xfId="0" applyFont="1" applyBorder="1" applyAlignment="1">
      <alignment horizontal="center"/>
    </xf>
    <xf numFmtId="0" fontId="15" fillId="0" borderId="1" xfId="0" applyFont="1" applyBorder="1"/>
    <xf numFmtId="0" fontId="15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166" fontId="9" fillId="0" borderId="8" xfId="0" applyNumberFormat="1" applyFont="1" applyBorder="1" applyAlignment="1"/>
    <xf numFmtId="166" fontId="9" fillId="0" borderId="8" xfId="0" applyNumberFormat="1" applyFont="1" applyBorder="1"/>
    <xf numFmtId="166" fontId="9" fillId="8" borderId="8" xfId="0" applyNumberFormat="1" applyFont="1" applyFill="1" applyBorder="1" applyAlignment="1"/>
    <xf numFmtId="166" fontId="9" fillId="8" borderId="17" xfId="0" applyNumberFormat="1" applyFont="1" applyFill="1" applyBorder="1"/>
    <xf numFmtId="166" fontId="3" fillId="0" borderId="6" xfId="0" applyNumberFormat="1" applyFont="1" applyBorder="1"/>
    <xf numFmtId="166" fontId="6" fillId="0" borderId="6" xfId="0" applyNumberFormat="1" applyFont="1" applyFill="1" applyBorder="1"/>
    <xf numFmtId="166" fontId="6" fillId="0" borderId="0" xfId="0" applyNumberFormat="1" applyFont="1"/>
    <xf numFmtId="4" fontId="6" fillId="0" borderId="6" xfId="0" applyNumberFormat="1" applyFont="1" applyBorder="1" applyAlignment="1">
      <alignment horizontal="center"/>
    </xf>
    <xf numFmtId="4" fontId="9" fillId="0" borderId="8" xfId="0" applyNumberFormat="1" applyFont="1" applyBorder="1"/>
    <xf numFmtId="4" fontId="9" fillId="8" borderId="17" xfId="0" applyNumberFormat="1" applyFont="1" applyFill="1" applyBorder="1"/>
    <xf numFmtId="4" fontId="3" fillId="0" borderId="6" xfId="0" applyNumberFormat="1" applyFont="1" applyBorder="1"/>
    <xf numFmtId="4" fontId="6" fillId="0" borderId="6" xfId="0" applyNumberFormat="1" applyFont="1" applyBorder="1"/>
    <xf numFmtId="0" fontId="20" fillId="0" borderId="0" xfId="0" applyFont="1"/>
    <xf numFmtId="3" fontId="20" fillId="0" borderId="0" xfId="0" applyNumberFormat="1" applyFont="1"/>
    <xf numFmtId="3" fontId="20" fillId="0" borderId="1" xfId="0" applyNumberFormat="1" applyFont="1" applyBorder="1"/>
    <xf numFmtId="0" fontId="3" fillId="0" borderId="6" xfId="0" applyFont="1" applyBorder="1" applyAlignment="1">
      <alignment horizontal="center"/>
    </xf>
    <xf numFmtId="0" fontId="31" fillId="0" borderId="0" xfId="0" applyFont="1"/>
    <xf numFmtId="0" fontId="9" fillId="8" borderId="13" xfId="0" applyFont="1" applyFill="1" applyBorder="1" applyAlignment="1">
      <alignment horizontal="right"/>
    </xf>
    <xf numFmtId="164" fontId="9" fillId="8" borderId="7" xfId="0" applyNumberFormat="1" applyFont="1" applyFill="1" applyBorder="1"/>
    <xf numFmtId="0" fontId="20" fillId="0" borderId="0" xfId="0" applyFont="1" applyBorder="1"/>
    <xf numFmtId="0" fontId="18" fillId="0" borderId="6" xfId="0" applyFont="1" applyBorder="1" applyAlignment="1">
      <alignment horizontal="left" vertical="top" indent="3"/>
    </xf>
    <xf numFmtId="0" fontId="6" fillId="0" borderId="10" xfId="0" quotePrefix="1" applyFont="1" applyBorder="1" applyAlignment="1">
      <alignment horizontal="center"/>
    </xf>
    <xf numFmtId="0" fontId="3" fillId="0" borderId="6" xfId="0" applyFont="1" applyBorder="1" applyAlignment="1">
      <alignment horizontal="justify" vertical="top"/>
    </xf>
    <xf numFmtId="4" fontId="6" fillId="0" borderId="13" xfId="0" applyNumberFormat="1" applyFont="1" applyBorder="1"/>
    <xf numFmtId="166" fontId="6" fillId="0" borderId="6" xfId="0" applyNumberFormat="1" applyFont="1" applyBorder="1" applyAlignment="1">
      <alignment horizontal="center"/>
    </xf>
    <xf numFmtId="14" fontId="15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3" fontId="6" fillId="0" borderId="0" xfId="0" applyNumberFormat="1" applyFont="1" applyBorder="1" applyAlignment="1">
      <alignment horizontal="center" vertical="center"/>
    </xf>
    <xf numFmtId="0" fontId="6" fillId="0" borderId="11" xfId="0" quotePrefix="1" applyFont="1" applyBorder="1" applyAlignment="1">
      <alignment horizontal="center"/>
    </xf>
    <xf numFmtId="14" fontId="3" fillId="0" borderId="6" xfId="0" applyNumberFormat="1" applyFont="1" applyBorder="1" applyAlignment="1">
      <alignment horizontal="justify" vertical="top"/>
    </xf>
    <xf numFmtId="0" fontId="6" fillId="0" borderId="6" xfId="0" applyFont="1" applyFill="1" applyBorder="1" applyAlignment="1" applyProtection="1">
      <alignment horizontal="justify" vertical="top"/>
    </xf>
    <xf numFmtId="0" fontId="3" fillId="0" borderId="6" xfId="0" applyFont="1" applyBorder="1" applyAlignment="1">
      <alignment horizontal="left" vertical="top" wrapText="1" indent="1"/>
    </xf>
    <xf numFmtId="0" fontId="6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quotePrefix="1" applyFont="1" applyAlignment="1">
      <alignment vertical="top" wrapText="1"/>
    </xf>
    <xf numFmtId="0" fontId="0" fillId="0" borderId="0" xfId="0" applyAlignment="1">
      <alignment vertical="top" wrapText="1"/>
    </xf>
    <xf numFmtId="0" fontId="3" fillId="8" borderId="13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3" fontId="3" fillId="4" borderId="13" xfId="0" applyNumberFormat="1" applyFont="1" applyFill="1" applyBorder="1" applyAlignment="1">
      <alignment horizontal="center"/>
    </xf>
    <xf numFmtId="3" fontId="3" fillId="4" borderId="14" xfId="0" applyNumberFormat="1" applyFont="1" applyFill="1" applyBorder="1" applyAlignment="1">
      <alignment horizontal="center"/>
    </xf>
    <xf numFmtId="0" fontId="0" fillId="0" borderId="7" xfId="0" applyBorder="1" applyAlignment="1"/>
    <xf numFmtId="3" fontId="6" fillId="0" borderId="13" xfId="0" applyNumberFormat="1" applyFont="1" applyBorder="1" applyAlignment="1">
      <alignment horizontal="center"/>
    </xf>
    <xf numFmtId="3" fontId="6" fillId="0" borderId="7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 wrapText="1"/>
    </xf>
    <xf numFmtId="0" fontId="0" fillId="0" borderId="3" xfId="0" applyBorder="1" applyAlignment="1"/>
    <xf numFmtId="0" fontId="3" fillId="0" borderId="13" xfId="0" applyFont="1" applyBorder="1" applyAlignment="1">
      <alignment horizontal="center"/>
    </xf>
    <xf numFmtId="0" fontId="3" fillId="0" borderId="10" xfId="0" applyFont="1" applyBorder="1" applyAlignment="1"/>
    <xf numFmtId="0" fontId="6" fillId="0" borderId="3" xfId="0" applyFont="1" applyBorder="1" applyAlignment="1"/>
    <xf numFmtId="3" fontId="6" fillId="0" borderId="11" xfId="0" applyNumberFormat="1" applyFont="1" applyBorder="1" applyAlignment="1">
      <alignment horizontal="center" wrapText="1"/>
    </xf>
    <xf numFmtId="0" fontId="0" fillId="0" borderId="12" xfId="0" applyBorder="1" applyAlignment="1"/>
    <xf numFmtId="0" fontId="0" fillId="0" borderId="18" xfId="0" applyBorder="1" applyAlignment="1"/>
    <xf numFmtId="0" fontId="0" fillId="0" borderId="2" xfId="0" applyBorder="1" applyAlignment="1"/>
    <xf numFmtId="0" fontId="3" fillId="10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2" fillId="0" borderId="1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10" borderId="14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 vertical="top"/>
    </xf>
    <xf numFmtId="0" fontId="3" fillId="9" borderId="3" xfId="0" applyFont="1" applyFill="1" applyBorder="1" applyAlignment="1">
      <alignment horizontal="center" vertical="top"/>
    </xf>
    <xf numFmtId="0" fontId="3" fillId="9" borderId="10" xfId="0" applyFont="1" applyFill="1" applyBorder="1" applyAlignment="1">
      <alignment horizontal="justify" vertical="top"/>
    </xf>
    <xf numFmtId="0" fontId="3" fillId="9" borderId="3" xfId="0" applyFont="1" applyFill="1" applyBorder="1" applyAlignment="1">
      <alignment horizontal="justify" vertical="top"/>
    </xf>
    <xf numFmtId="0" fontId="3" fillId="9" borderId="13" xfId="0" applyFont="1" applyFill="1" applyBorder="1" applyAlignment="1">
      <alignment horizontal="center" vertical="top"/>
    </xf>
    <xf numFmtId="0" fontId="3" fillId="9" borderId="14" xfId="0" applyFont="1" applyFill="1" applyBorder="1" applyAlignment="1">
      <alignment horizontal="center" vertical="top"/>
    </xf>
    <xf numFmtId="0" fontId="3" fillId="9" borderId="7" xfId="0" applyFont="1" applyFill="1" applyBorder="1" applyAlignment="1">
      <alignment horizontal="center" vertical="top"/>
    </xf>
    <xf numFmtId="0" fontId="17" fillId="0" borderId="0" xfId="0" applyFont="1" applyAlignment="1">
      <alignment horizontal="justify" vertical="top" wrapText="1"/>
    </xf>
    <xf numFmtId="0" fontId="0" fillId="0" borderId="0" xfId="0" applyAlignment="1">
      <alignment horizontal="justify" vertical="top" wrapText="1"/>
    </xf>
    <xf numFmtId="0" fontId="0" fillId="0" borderId="0" xfId="0" applyAlignment="1">
      <alignment horizontal="justify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Cronograma Previsto</a:t>
            </a:r>
          </a:p>
        </c:rich>
      </c:tx>
      <c:layout>
        <c:manualLayout>
          <c:xMode val="edge"/>
          <c:yMode val="edge"/>
          <c:x val="0.41269901868327064"/>
          <c:y val="5.714285714285714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275631983382921"/>
          <c:y val="0.45"/>
          <c:w val="0.82395498505561338"/>
          <c:h val="0.45"/>
        </c:manualLayout>
      </c:layout>
      <c:barChart>
        <c:barDir val="bar"/>
        <c:grouping val="stacked"/>
        <c:ser>
          <c:idx val="0"/>
          <c:order val="0"/>
          <c:spPr>
            <a:noFill/>
            <a:ln w="25400">
              <a:noFill/>
            </a:ln>
          </c:spPr>
          <c:cat>
            <c:strRef>
              <c:f>Resumo!$A$43:$A$43</c:f>
              <c:strCache>
                <c:ptCount val="1"/>
                <c:pt idx="0">
                  <c:v>Elaboração - Iteração 1</c:v>
                </c:pt>
              </c:strCache>
            </c:strRef>
          </c:cat>
          <c:val>
            <c:numRef>
              <c:f>Resumo!$C$43:$C$43</c:f>
              <c:numCache>
                <c:formatCode>dd/mm/yyyy</c:formatCode>
                <c:ptCount val="1"/>
                <c:pt idx="0">
                  <c:v>40290</c:v>
                </c:pt>
              </c:numCache>
            </c:numRef>
          </c:val>
        </c:ser>
        <c:ser>
          <c:idx val="1"/>
          <c:order val="1"/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Resumo!$A$43:$A$43</c:f>
              <c:strCache>
                <c:ptCount val="1"/>
                <c:pt idx="0">
                  <c:v>Elaboração - Iteração 1</c:v>
                </c:pt>
              </c:strCache>
            </c:strRef>
          </c:cat>
          <c:val>
            <c:numRef>
              <c:f>Resumo!$K$43:$K$43</c:f>
              <c:numCache>
                <c:formatCode>#,##0</c:formatCode>
                <c:ptCount val="1"/>
                <c:pt idx="0">
                  <c:v>29</c:v>
                </c:pt>
              </c:numCache>
            </c:numRef>
          </c:val>
        </c:ser>
        <c:overlap val="100"/>
        <c:axId val="78606720"/>
        <c:axId val="78608256"/>
      </c:barChart>
      <c:catAx>
        <c:axId val="78606720"/>
        <c:scaling>
          <c:orientation val="maxMin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78608256"/>
        <c:crosses val="autoZero"/>
        <c:auto val="1"/>
        <c:lblAlgn val="ctr"/>
        <c:lblOffset val="100"/>
        <c:tickMarkSkip val="1"/>
      </c:catAx>
      <c:valAx>
        <c:axId val="78608256"/>
        <c:scaling>
          <c:orientation val="minMax"/>
        </c:scaling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d/mmm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78606720"/>
        <c:crosses val="autoZero"/>
        <c:crossBetween val="between"/>
        <c:majorUnit val="7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noFill/>
    <a:ln w="3175">
      <a:solidFill>
        <a:srgbClr val="969696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354" footer="0.49212598500000354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Evolução Previsto x Realizado</a:t>
            </a:r>
          </a:p>
        </c:rich>
      </c:tx>
      <c:layout>
        <c:manualLayout>
          <c:xMode val="edge"/>
          <c:yMode val="edge"/>
          <c:x val="0.31531602468610342"/>
          <c:y val="3.241895261845420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261286030066738"/>
          <c:y val="0.14962593516209644"/>
          <c:w val="0.65090233253786289"/>
          <c:h val="0.73815461346633926"/>
        </c:manualLayout>
      </c:layout>
      <c:lineChart>
        <c:grouping val="standard"/>
        <c:ser>
          <c:idx val="0"/>
          <c:order val="0"/>
          <c:tx>
            <c:v>Planejado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Resumo!$A$49:$A$102</c:f>
              <c:numCache>
                <c:formatCode>dd/mm/yyyy</c:formatCode>
                <c:ptCount val="54"/>
                <c:pt idx="0">
                  <c:v>40291</c:v>
                </c:pt>
                <c:pt idx="1">
                  <c:v>40317</c:v>
                </c:pt>
              </c:numCache>
            </c:numRef>
          </c:cat>
          <c:val>
            <c:numRef>
              <c:f>Resumo!$B$49:$B$102</c:f>
              <c:numCache>
                <c:formatCode>#,##0.0</c:formatCode>
                <c:ptCount val="54"/>
                <c:pt idx="0">
                  <c:v>31.5</c:v>
                </c:pt>
                <c:pt idx="1">
                  <c:v>242</c:v>
                </c:pt>
              </c:numCache>
            </c:numRef>
          </c:val>
        </c:ser>
        <c:ser>
          <c:idx val="1"/>
          <c:order val="1"/>
          <c:tx>
            <c:v>Executado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Resumo!$A$49:$A$102</c:f>
              <c:numCache>
                <c:formatCode>dd/mm/yyyy</c:formatCode>
                <c:ptCount val="54"/>
                <c:pt idx="0">
                  <c:v>40291</c:v>
                </c:pt>
                <c:pt idx="1">
                  <c:v>40317</c:v>
                </c:pt>
              </c:numCache>
            </c:numRef>
          </c:cat>
          <c:val>
            <c:numRef>
              <c:f>Resumo!$C$49:$C$102</c:f>
              <c:numCache>
                <c:formatCode>#,##0.0</c:formatCode>
                <c:ptCount val="54"/>
                <c:pt idx="0">
                  <c:v>7</c:v>
                </c:pt>
                <c:pt idx="1">
                  <c:v>26.5</c:v>
                </c:pt>
              </c:numCache>
            </c:numRef>
          </c:val>
        </c:ser>
        <c:ser>
          <c:idx val="2"/>
          <c:order val="2"/>
          <c:tx>
            <c:v>Agregado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square"/>
            <c:size val="3"/>
            <c:spPr>
              <a:noFill/>
              <a:ln w="9525">
                <a:noFill/>
              </a:ln>
            </c:spPr>
          </c:marker>
          <c:cat>
            <c:numRef>
              <c:f>Resumo!$A$49:$A$102</c:f>
              <c:numCache>
                <c:formatCode>dd/mm/yyyy</c:formatCode>
                <c:ptCount val="54"/>
                <c:pt idx="0">
                  <c:v>40291</c:v>
                </c:pt>
                <c:pt idx="1">
                  <c:v>40317</c:v>
                </c:pt>
              </c:numCache>
            </c:numRef>
          </c:cat>
          <c:val>
            <c:numRef>
              <c:f>Resumo!$D$49:$D$102</c:f>
              <c:numCache>
                <c:formatCode>#,##0.0</c:formatCode>
                <c:ptCount val="54"/>
                <c:pt idx="0">
                  <c:v>13.5</c:v>
                </c:pt>
                <c:pt idx="1">
                  <c:v>51.5</c:v>
                </c:pt>
              </c:numCache>
            </c:numRef>
          </c:val>
        </c:ser>
        <c:marker val="1"/>
        <c:axId val="78637696"/>
        <c:axId val="78140160"/>
      </c:lineChart>
      <c:dateAx>
        <c:axId val="78637696"/>
        <c:scaling>
          <c:orientation val="minMax"/>
        </c:scaling>
        <c:axPos val="b"/>
        <c:numFmt formatCode="dd/mmm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78140160"/>
        <c:crosses val="autoZero"/>
        <c:auto val="1"/>
        <c:lblOffset val="100"/>
        <c:majorUnit val="7"/>
        <c:majorTimeUnit val="days"/>
      </c:dateAx>
      <c:valAx>
        <c:axId val="78140160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78637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72972972972977"/>
          <c:y val="0.46882793017456653"/>
          <c:w val="0.17792792792792791"/>
          <c:h val="0.1097256857855376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969696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354" footer="0.49212598500000354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33</xdr:row>
      <xdr:rowOff>28575</xdr:rowOff>
    </xdr:from>
    <xdr:to>
      <xdr:col>15</xdr:col>
      <xdr:colOff>304799</xdr:colOff>
      <xdr:row>39</xdr:row>
      <xdr:rowOff>57150</xdr:rowOff>
    </xdr:to>
    <xdr:graphicFrame macro="">
      <xdr:nvGraphicFramePr>
        <xdr:cNvPr id="415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9</xdr:row>
      <xdr:rowOff>0</xdr:rowOff>
    </xdr:from>
    <xdr:to>
      <xdr:col>10</xdr:col>
      <xdr:colOff>9525</xdr:colOff>
      <xdr:row>23</xdr:row>
      <xdr:rowOff>0</xdr:rowOff>
    </xdr:to>
    <xdr:graphicFrame macro="">
      <xdr:nvGraphicFramePr>
        <xdr:cNvPr id="4151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13</xdr:col>
      <xdr:colOff>0</xdr:colOff>
      <xdr:row>0</xdr:row>
      <xdr:rowOff>38100</xdr:rowOff>
    </xdr:to>
    <xdr:sp macro="" textlink="">
      <xdr:nvSpPr>
        <xdr:cNvPr id="2053" name="Text Box 5"/>
        <xdr:cNvSpPr txBox="1">
          <a:spLocks noChangeArrowheads="1"/>
        </xdr:cNvSpPr>
      </xdr:nvSpPr>
      <xdr:spPr bwMode="auto">
        <a:xfrm>
          <a:off x="10448925" y="0"/>
          <a:ext cx="13716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pt-BR" sz="800" b="0" i="0" strike="noStrike">
              <a:solidFill>
                <a:srgbClr val="000000"/>
              </a:solidFill>
              <a:latin typeface="Arial"/>
              <a:cs typeface="Arial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L58"/>
  <sheetViews>
    <sheetView showGridLines="0" workbookViewId="0">
      <selection activeCell="C18" sqref="C18"/>
    </sheetView>
  </sheetViews>
  <sheetFormatPr defaultRowHeight="11.25"/>
  <cols>
    <col min="1" max="1" width="20.85546875" style="36" customWidth="1"/>
    <col min="2" max="2" width="8.42578125" style="36" customWidth="1"/>
    <col min="3" max="3" width="10.42578125" style="36" customWidth="1"/>
    <col min="4" max="6" width="9.140625" style="36"/>
    <col min="7" max="9" width="9" style="90" customWidth="1"/>
    <col min="10" max="10" width="9.5703125" style="36" customWidth="1"/>
    <col min="11" max="11" width="11" style="36" customWidth="1"/>
    <col min="12" max="16384" width="9.140625" style="36"/>
  </cols>
  <sheetData>
    <row r="1" spans="1:11" ht="15">
      <c r="A1" s="80" t="s">
        <v>228</v>
      </c>
      <c r="B1" s="161"/>
      <c r="C1" s="161"/>
      <c r="D1" s="161"/>
      <c r="E1" s="161"/>
      <c r="F1" s="161"/>
      <c r="G1" s="162"/>
      <c r="H1" s="162"/>
      <c r="I1" s="162"/>
      <c r="J1" s="97" t="s">
        <v>227</v>
      </c>
    </row>
    <row r="2" spans="1:11" ht="12.75" thickBot="1">
      <c r="A2" s="96" t="s">
        <v>177</v>
      </c>
      <c r="B2" s="79"/>
      <c r="C2" s="79"/>
      <c r="D2" s="79"/>
      <c r="E2" s="79"/>
      <c r="F2" s="79"/>
      <c r="G2" s="163"/>
      <c r="H2" s="163"/>
      <c r="I2" s="163"/>
      <c r="J2" s="126">
        <f>Parâmetros!B6</f>
        <v>40317</v>
      </c>
    </row>
    <row r="3" spans="1:11" ht="6" customHeight="1" thickTop="1"/>
    <row r="4" spans="1:11" ht="14.25">
      <c r="A4" s="165" t="s">
        <v>201</v>
      </c>
    </row>
    <row r="5" spans="1:11" ht="6" customHeight="1"/>
    <row r="6" spans="1:11" s="137" customFormat="1" ht="27" customHeight="1">
      <c r="A6" s="184"/>
      <c r="B6" s="185"/>
      <c r="C6" s="185"/>
      <c r="D6" s="185"/>
      <c r="E6" s="185"/>
      <c r="F6" s="185"/>
      <c r="G6" s="185"/>
      <c r="H6" s="185"/>
      <c r="I6" s="185"/>
      <c r="J6" s="185"/>
      <c r="K6" s="136"/>
    </row>
    <row r="7" spans="1:11" s="137" customFormat="1" ht="6" customHeight="1">
      <c r="A7" s="138"/>
      <c r="B7" s="136"/>
      <c r="C7" s="136"/>
      <c r="D7" s="136"/>
      <c r="E7" s="136"/>
      <c r="F7" s="136"/>
      <c r="G7" s="136"/>
      <c r="H7" s="136"/>
      <c r="I7" s="136"/>
      <c r="J7" s="136"/>
      <c r="K7" s="136"/>
    </row>
    <row r="8" spans="1:11" ht="14.25">
      <c r="A8" s="165" t="s">
        <v>174</v>
      </c>
    </row>
    <row r="9" spans="1:11" ht="9" customHeight="1">
      <c r="A9" s="28"/>
    </row>
    <row r="10" spans="1:11" ht="15" customHeight="1">
      <c r="A10" s="108" t="s">
        <v>198</v>
      </c>
      <c r="B10" s="123"/>
      <c r="C10" s="124"/>
    </row>
    <row r="11" spans="1:11" ht="15" customHeight="1">
      <c r="A11" s="104" t="s">
        <v>197</v>
      </c>
      <c r="B11" s="74"/>
      <c r="C11" s="118">
        <f>IF(Planejamento!H8&lt;&gt;0,VLOOKUP(Parâmetros!B6,A49:I139,4)/Planejamento!H8,0)</f>
        <v>0.18933823529411764</v>
      </c>
      <c r="F11" s="99"/>
      <c r="G11" s="100"/>
      <c r="H11" s="100"/>
      <c r="I11" s="101"/>
    </row>
    <row r="12" spans="1:11" ht="15" customHeight="1">
      <c r="A12" s="104" t="s">
        <v>222</v>
      </c>
      <c r="B12" s="74"/>
      <c r="C12" s="88">
        <f>SUM(B43:B43)</f>
        <v>24</v>
      </c>
      <c r="F12" s="99"/>
      <c r="G12" s="100"/>
      <c r="H12" s="100"/>
      <c r="I12" s="101"/>
    </row>
    <row r="13" spans="1:11" ht="15" customHeight="1">
      <c r="A13" s="104" t="s">
        <v>196</v>
      </c>
      <c r="B13" s="74"/>
      <c r="C13" s="92">
        <f>SUM(IF(Planejamento!B9:B245&gt;0,IF(Planejamento!G9:G245&gt;0,1,0),0))</f>
        <v>1</v>
      </c>
      <c r="F13" s="99"/>
      <c r="G13" s="100"/>
      <c r="H13" s="100"/>
      <c r="I13" s="101"/>
    </row>
    <row r="14" spans="1:11" ht="15" customHeight="1">
      <c r="A14" s="108" t="s">
        <v>151</v>
      </c>
      <c r="B14" s="111"/>
      <c r="C14" s="112"/>
      <c r="F14" s="99"/>
      <c r="G14" s="100"/>
      <c r="H14" s="100"/>
      <c r="I14" s="101"/>
    </row>
    <row r="15" spans="1:11" ht="15" customHeight="1">
      <c r="A15" s="75" t="s">
        <v>190</v>
      </c>
      <c r="B15" s="76"/>
      <c r="C15" s="94">
        <f>Planejamento!D8</f>
        <v>40290</v>
      </c>
      <c r="F15" s="102"/>
      <c r="G15" s="100"/>
      <c r="H15" s="100"/>
      <c r="I15" s="100"/>
    </row>
    <row r="16" spans="1:11" ht="15" customHeight="1">
      <c r="A16" s="104" t="s">
        <v>180</v>
      </c>
      <c r="B16" s="105"/>
      <c r="C16" s="94">
        <f>Planejamento!F8</f>
        <v>40284</v>
      </c>
    </row>
    <row r="17" spans="1:12" ht="15" customHeight="1">
      <c r="A17" s="104" t="s">
        <v>181</v>
      </c>
      <c r="B17" s="105"/>
      <c r="C17" s="94">
        <f>Planejamento!E8</f>
        <v>40319</v>
      </c>
      <c r="K17" s="62"/>
      <c r="L17" s="62"/>
    </row>
    <row r="18" spans="1:12" ht="15" customHeight="1">
      <c r="A18" s="104" t="s">
        <v>182</v>
      </c>
      <c r="B18" s="105"/>
      <c r="C18" s="94">
        <f ca="1">WORKDAY(TODAY(),(C23-C22)/(Parâmetros!B5*2),Parâmetros!$B$8:$B$10)</f>
        <v>40343</v>
      </c>
      <c r="K18" s="62"/>
    </row>
    <row r="19" spans="1:12" ht="15" customHeight="1">
      <c r="A19" s="108" t="s">
        <v>208</v>
      </c>
      <c r="B19" s="109"/>
      <c r="C19" s="110"/>
    </row>
    <row r="20" spans="1:12" ht="15" customHeight="1">
      <c r="A20" s="104" t="s">
        <v>200</v>
      </c>
      <c r="B20" s="105"/>
      <c r="C20" s="92">
        <f>Planejamento!H8</f>
        <v>272</v>
      </c>
      <c r="K20" s="62"/>
    </row>
    <row r="21" spans="1:12" ht="15" customHeight="1">
      <c r="A21" s="104" t="s">
        <v>185</v>
      </c>
      <c r="B21" s="105"/>
      <c r="C21" s="92">
        <f>Planejamento!I8</f>
        <v>242</v>
      </c>
      <c r="K21" s="62"/>
    </row>
    <row r="22" spans="1:12" ht="15" customHeight="1">
      <c r="A22" s="104" t="s">
        <v>186</v>
      </c>
      <c r="B22" s="105"/>
      <c r="C22" s="92">
        <f>Planejamento!J8</f>
        <v>26.5</v>
      </c>
      <c r="K22" s="98"/>
    </row>
    <row r="23" spans="1:12" ht="15" customHeight="1">
      <c r="A23" s="104" t="s">
        <v>188</v>
      </c>
      <c r="B23" s="105"/>
      <c r="C23" s="92">
        <f>VLOOKUP(Parâmetros!B6,A49:I136,9)</f>
        <v>139.96116504854371</v>
      </c>
    </row>
    <row r="24" spans="1:12">
      <c r="B24" s="89"/>
      <c r="C24" s="89"/>
      <c r="D24" s="89"/>
      <c r="E24" s="89"/>
      <c r="F24" s="89"/>
      <c r="G24" s="93"/>
      <c r="H24" s="93"/>
      <c r="I24" s="93"/>
      <c r="J24" s="90"/>
      <c r="K24" s="90"/>
    </row>
    <row r="25" spans="1:12" ht="15" customHeight="1">
      <c r="A25" s="108" t="s">
        <v>212</v>
      </c>
      <c r="B25" s="108"/>
      <c r="C25" s="108"/>
      <c r="D25" s="166" t="s">
        <v>229</v>
      </c>
      <c r="E25" s="167">
        <v>50</v>
      </c>
      <c r="F25" s="89"/>
      <c r="G25" s="93"/>
      <c r="H25" s="93"/>
      <c r="I25" s="93"/>
      <c r="J25" s="90"/>
      <c r="K25" s="90"/>
    </row>
    <row r="26" spans="1:12">
      <c r="A26" s="197" t="s">
        <v>210</v>
      </c>
      <c r="B26" s="196" t="s">
        <v>207</v>
      </c>
      <c r="C26" s="188"/>
      <c r="D26" s="196" t="s">
        <v>211</v>
      </c>
      <c r="E26" s="188"/>
      <c r="F26" s="89"/>
      <c r="G26" s="93"/>
      <c r="H26" s="93"/>
      <c r="I26" s="93"/>
      <c r="J26" s="90"/>
      <c r="K26" s="90"/>
    </row>
    <row r="27" spans="1:12">
      <c r="A27" s="198"/>
      <c r="B27" s="164" t="s">
        <v>230</v>
      </c>
      <c r="C27" s="164" t="s">
        <v>214</v>
      </c>
      <c r="D27" s="164" t="s">
        <v>230</v>
      </c>
      <c r="E27" s="164" t="s">
        <v>214</v>
      </c>
      <c r="F27" s="89"/>
      <c r="G27" s="93"/>
      <c r="H27" s="93"/>
      <c r="I27" s="93"/>
      <c r="J27" s="90"/>
      <c r="K27" s="90"/>
    </row>
    <row r="28" spans="1:12">
      <c r="A28" s="37" t="s">
        <v>234</v>
      </c>
      <c r="B28" s="156"/>
      <c r="C28" s="156">
        <f>+B28*50</f>
        <v>0</v>
      </c>
      <c r="D28" s="156"/>
      <c r="E28" s="156">
        <f>+D28*50</f>
        <v>0</v>
      </c>
      <c r="F28" s="89"/>
      <c r="G28" s="93"/>
      <c r="H28" s="93"/>
      <c r="I28" s="93"/>
      <c r="J28" s="90"/>
      <c r="K28" s="90"/>
    </row>
    <row r="29" spans="1:12">
      <c r="A29" s="37" t="s">
        <v>217</v>
      </c>
      <c r="B29" s="156"/>
      <c r="C29" s="156">
        <f t="shared" ref="C29:C30" si="0">+B29*50</f>
        <v>0</v>
      </c>
      <c r="D29" s="156"/>
      <c r="E29" s="156">
        <f t="shared" ref="E29:E30" si="1">+D29*50</f>
        <v>0</v>
      </c>
      <c r="F29" s="89"/>
      <c r="G29" s="93"/>
      <c r="H29" s="93"/>
      <c r="I29" s="93"/>
      <c r="J29" s="90"/>
      <c r="K29" s="90"/>
    </row>
    <row r="30" spans="1:12">
      <c r="A30" s="37" t="s">
        <v>213</v>
      </c>
      <c r="B30" s="156"/>
      <c r="C30" s="156">
        <f t="shared" si="0"/>
        <v>0</v>
      </c>
      <c r="D30" s="156"/>
      <c r="E30" s="156">
        <f t="shared" si="1"/>
        <v>0</v>
      </c>
      <c r="F30" s="89"/>
      <c r="G30" s="93"/>
      <c r="H30" s="93"/>
      <c r="I30" s="93"/>
      <c r="J30" s="90"/>
      <c r="K30" s="90"/>
    </row>
    <row r="31" spans="1:12">
      <c r="B31" s="89"/>
      <c r="C31" s="89"/>
      <c r="D31" s="89"/>
      <c r="E31" s="89"/>
      <c r="F31" s="89"/>
      <c r="G31" s="93"/>
      <c r="H31" s="93"/>
      <c r="I31" s="93"/>
      <c r="J31" s="90"/>
      <c r="K31" s="90"/>
    </row>
    <row r="32" spans="1:12">
      <c r="A32" s="125"/>
    </row>
    <row r="33" spans="1:11" ht="14.25">
      <c r="A33" s="165" t="s">
        <v>215</v>
      </c>
    </row>
    <row r="34" spans="1:11" ht="15">
      <c r="A34" s="28"/>
    </row>
    <row r="35" spans="1:11" ht="15">
      <c r="A35" s="28"/>
    </row>
    <row r="36" spans="1:11" ht="15">
      <c r="A36" s="28"/>
    </row>
    <row r="37" spans="1:11" ht="15">
      <c r="A37" s="28"/>
    </row>
    <row r="38" spans="1:11" ht="27.75" customHeight="1">
      <c r="A38" s="28"/>
    </row>
    <row r="39" spans="1:11" ht="15">
      <c r="A39" s="28"/>
    </row>
    <row r="40" spans="1:11" ht="15">
      <c r="A40" s="28"/>
    </row>
    <row r="41" spans="1:11" ht="12.75" customHeight="1">
      <c r="A41" s="72"/>
      <c r="B41" s="206" t="s">
        <v>223</v>
      </c>
      <c r="C41" s="186" t="s">
        <v>151</v>
      </c>
      <c r="D41" s="187"/>
      <c r="E41" s="187"/>
      <c r="F41" s="188"/>
      <c r="G41" s="189" t="s">
        <v>160</v>
      </c>
      <c r="H41" s="190"/>
      <c r="I41" s="190"/>
      <c r="J41" s="191"/>
    </row>
    <row r="42" spans="1:11" ht="24.75" customHeight="1">
      <c r="A42" s="85" t="s">
        <v>169</v>
      </c>
      <c r="B42" s="207"/>
      <c r="C42" s="86" t="s">
        <v>187</v>
      </c>
      <c r="D42" s="87" t="s">
        <v>170</v>
      </c>
      <c r="E42" s="87" t="s">
        <v>171</v>
      </c>
      <c r="F42" s="87" t="s">
        <v>172</v>
      </c>
      <c r="G42" s="91" t="s">
        <v>168</v>
      </c>
      <c r="H42" s="91" t="s">
        <v>152</v>
      </c>
      <c r="I42" s="91" t="s">
        <v>154</v>
      </c>
      <c r="J42" s="91" t="s">
        <v>153</v>
      </c>
    </row>
    <row r="43" spans="1:11">
      <c r="A43" s="37" t="str">
        <f>+Planejamento!A9</f>
        <v>Elaboração - Iteração 1</v>
      </c>
      <c r="B43" s="88">
        <f>COUNT(Planejamento!B10:B61)</f>
        <v>24</v>
      </c>
      <c r="C43" s="94">
        <f>Planejamento!D9</f>
        <v>40290</v>
      </c>
      <c r="D43" s="94">
        <f>Planejamento!E9</f>
        <v>40319</v>
      </c>
      <c r="E43" s="94">
        <f>Planejamento!F9</f>
        <v>40284</v>
      </c>
      <c r="F43" s="94" t="str">
        <f>Planejamento!G9</f>
        <v/>
      </c>
      <c r="G43" s="173">
        <f>Planejamento!H9</f>
        <v>272</v>
      </c>
      <c r="H43" s="173">
        <f ca="1">Planejamento!I9</f>
        <v>242</v>
      </c>
      <c r="I43" s="173">
        <f>Planejamento!J9</f>
        <v>26.5</v>
      </c>
      <c r="J43" s="173">
        <f>Planejamento!K9</f>
        <v>51.5</v>
      </c>
      <c r="K43" s="107">
        <f>+D43-C43</f>
        <v>29</v>
      </c>
    </row>
    <row r="44" spans="1:11">
      <c r="A44" s="41"/>
      <c r="B44" s="40"/>
      <c r="C44" s="127"/>
      <c r="D44" s="127"/>
      <c r="E44" s="127"/>
      <c r="F44" s="127"/>
      <c r="G44" s="128"/>
      <c r="H44" s="128"/>
      <c r="I44" s="128"/>
      <c r="J44" s="128"/>
      <c r="K44" s="107"/>
    </row>
    <row r="45" spans="1:11">
      <c r="B45" s="89"/>
      <c r="C45" s="89"/>
      <c r="D45" s="89"/>
      <c r="E45" s="89"/>
      <c r="F45" s="89"/>
      <c r="G45" s="93"/>
      <c r="H45" s="93"/>
      <c r="I45" s="93"/>
      <c r="J45" s="90"/>
      <c r="K45" s="90"/>
    </row>
    <row r="46" spans="1:11" ht="14.25">
      <c r="A46" s="165" t="s">
        <v>209</v>
      </c>
    </row>
    <row r="47" spans="1:11" ht="12.75">
      <c r="A47" s="83"/>
      <c r="B47" s="83"/>
      <c r="C47" s="83"/>
      <c r="D47" s="194" t="s">
        <v>189</v>
      </c>
      <c r="E47" s="203" t="s">
        <v>159</v>
      </c>
      <c r="F47" s="204"/>
      <c r="G47" s="204"/>
      <c r="H47" s="205"/>
      <c r="I47" s="199" t="s">
        <v>184</v>
      </c>
      <c r="J47" s="200"/>
    </row>
    <row r="48" spans="1:11" ht="24.75" customHeight="1">
      <c r="A48" s="84" t="s">
        <v>173</v>
      </c>
      <c r="B48" s="103" t="s">
        <v>152</v>
      </c>
      <c r="C48" s="103" t="s">
        <v>154</v>
      </c>
      <c r="D48" s="195"/>
      <c r="E48" s="69" t="s">
        <v>155</v>
      </c>
      <c r="F48" s="69" t="s">
        <v>156</v>
      </c>
      <c r="G48" s="63" t="s">
        <v>157</v>
      </c>
      <c r="H48" s="63" t="s">
        <v>158</v>
      </c>
      <c r="I48" s="201"/>
      <c r="J48" s="202"/>
    </row>
    <row r="49" spans="1:10" ht="12">
      <c r="A49" s="142">
        <v>40291</v>
      </c>
      <c r="B49" s="113">
        <v>31.5</v>
      </c>
      <c r="C49" s="113">
        <v>7</v>
      </c>
      <c r="D49" s="113">
        <v>13.5</v>
      </c>
      <c r="E49" s="113">
        <f t="shared" ref="E49:E55" si="2">+D49-B49</f>
        <v>-18</v>
      </c>
      <c r="F49" s="113">
        <f t="shared" ref="F49" si="3">+D49-C49</f>
        <v>6.5</v>
      </c>
      <c r="G49" s="65">
        <f t="shared" ref="G49:G55" si="4">+IF(B49&lt;&gt;0,D49/B49,0)</f>
        <v>0.42857142857142855</v>
      </c>
      <c r="H49" s="65">
        <f t="shared" ref="H49" si="5">+IF(C49&lt;&gt;0,D49/C49,0)</f>
        <v>1.9285714285714286</v>
      </c>
      <c r="I49" s="192">
        <f>IF(H49&lt;&gt;0,C49+(VLOOKUP(A49,'Histórico de Versões'!A5:E72,5)-D49)/H49,"")</f>
        <v>141.03703703703704</v>
      </c>
      <c r="J49" s="193"/>
    </row>
    <row r="50" spans="1:10" ht="12">
      <c r="A50" s="142">
        <v>40317</v>
      </c>
      <c r="B50" s="113">
        <v>242</v>
      </c>
      <c r="C50" s="113">
        <v>26.5</v>
      </c>
      <c r="D50" s="113">
        <v>51.5</v>
      </c>
      <c r="E50" s="113">
        <f t="shared" si="2"/>
        <v>-190.5</v>
      </c>
      <c r="F50" s="113">
        <f t="shared" ref="F50:F55" si="6">+D50-C50</f>
        <v>25</v>
      </c>
      <c r="G50" s="65">
        <f t="shared" si="4"/>
        <v>0.21280991735537191</v>
      </c>
      <c r="H50" s="65">
        <f t="shared" ref="H50:H55" si="7">+IF(C50&lt;&gt;0,D50/C50,0)</f>
        <v>1.9433962264150944</v>
      </c>
      <c r="I50" s="192">
        <f>IF(H50&lt;&gt;0,C50+(VLOOKUP(A50,'Histórico de Versões'!A6:E73,5)-D50)/H50,"")</f>
        <v>139.96116504854371</v>
      </c>
      <c r="J50" s="193"/>
    </row>
    <row r="51" spans="1:10">
      <c r="A51" s="106"/>
      <c r="B51" s="129"/>
      <c r="C51" s="129"/>
      <c r="D51" s="129"/>
      <c r="E51" s="113">
        <f t="shared" si="2"/>
        <v>0</v>
      </c>
      <c r="F51" s="113">
        <f t="shared" si="6"/>
        <v>0</v>
      </c>
      <c r="G51" s="65">
        <f t="shared" si="4"/>
        <v>0</v>
      </c>
      <c r="H51" s="65">
        <f t="shared" si="7"/>
        <v>0</v>
      </c>
      <c r="I51" s="192" t="str">
        <f>IF(H51&lt;&gt;0,C51+(VLOOKUP(A51,'Histórico de Versões'!A7:E74,5)-D51)/H51,"")</f>
        <v/>
      </c>
      <c r="J51" s="193"/>
    </row>
    <row r="52" spans="1:10">
      <c r="A52" s="106"/>
      <c r="B52" s="129"/>
      <c r="C52" s="129"/>
      <c r="D52" s="129"/>
      <c r="E52" s="113">
        <f t="shared" si="2"/>
        <v>0</v>
      </c>
      <c r="F52" s="113">
        <f t="shared" si="6"/>
        <v>0</v>
      </c>
      <c r="G52" s="65">
        <f t="shared" si="4"/>
        <v>0</v>
      </c>
      <c r="H52" s="65">
        <f t="shared" si="7"/>
        <v>0</v>
      </c>
      <c r="I52" s="192" t="str">
        <f>IF(H52&lt;&gt;0,C52+(VLOOKUP(A52,'Histórico de Versões'!A8:E75,5)-D52)/H52,"")</f>
        <v/>
      </c>
      <c r="J52" s="193"/>
    </row>
    <row r="53" spans="1:10">
      <c r="A53" s="106"/>
      <c r="B53" s="129"/>
      <c r="C53" s="129"/>
      <c r="D53" s="129"/>
      <c r="E53" s="113">
        <f t="shared" si="2"/>
        <v>0</v>
      </c>
      <c r="F53" s="113">
        <f t="shared" si="6"/>
        <v>0</v>
      </c>
      <c r="G53" s="65">
        <f t="shared" si="4"/>
        <v>0</v>
      </c>
      <c r="H53" s="65">
        <f t="shared" si="7"/>
        <v>0</v>
      </c>
      <c r="I53" s="192" t="str">
        <f>IF(H53&lt;&gt;0,C53+(VLOOKUP(A53,'Histórico de Versões'!A9:E76,5)-D53)/H53,"")</f>
        <v/>
      </c>
      <c r="J53" s="193"/>
    </row>
    <row r="54" spans="1:10">
      <c r="A54" s="106"/>
      <c r="B54" s="129"/>
      <c r="C54" s="129"/>
      <c r="D54" s="129"/>
      <c r="E54" s="113">
        <f t="shared" si="2"/>
        <v>0</v>
      </c>
      <c r="F54" s="113">
        <f t="shared" si="6"/>
        <v>0</v>
      </c>
      <c r="G54" s="65">
        <f t="shared" si="4"/>
        <v>0</v>
      </c>
      <c r="H54" s="65">
        <f t="shared" si="7"/>
        <v>0</v>
      </c>
      <c r="I54" s="192" t="str">
        <f>IF(H54&lt;&gt;0,C54+(VLOOKUP(A54,'Histórico de Versões'!A10:E77,5)-D54)/H54,"")</f>
        <v/>
      </c>
      <c r="J54" s="193"/>
    </row>
    <row r="55" spans="1:10">
      <c r="A55" s="106"/>
      <c r="B55" s="129"/>
      <c r="C55" s="129"/>
      <c r="D55" s="129"/>
      <c r="E55" s="113">
        <f t="shared" si="2"/>
        <v>0</v>
      </c>
      <c r="F55" s="113">
        <f t="shared" si="6"/>
        <v>0</v>
      </c>
      <c r="G55" s="65">
        <f t="shared" si="4"/>
        <v>0</v>
      </c>
      <c r="H55" s="65">
        <f t="shared" si="7"/>
        <v>0</v>
      </c>
      <c r="I55" s="192" t="str">
        <f>IF(H55&lt;&gt;0,C55+(VLOOKUP(A55,'Histórico de Versões'!A11:E78,5)-D55)/H55,"")</f>
        <v/>
      </c>
      <c r="J55" s="193"/>
    </row>
    <row r="56" spans="1:10">
      <c r="B56" s="90"/>
      <c r="C56" s="90"/>
      <c r="D56" s="90"/>
    </row>
    <row r="57" spans="1:10">
      <c r="C57" s="90"/>
    </row>
    <row r="58" spans="1:10">
      <c r="C58" s="90"/>
    </row>
  </sheetData>
  <mergeCells count="17">
    <mergeCell ref="I54:J54"/>
    <mergeCell ref="A6:J6"/>
    <mergeCell ref="C41:F41"/>
    <mergeCell ref="G41:J41"/>
    <mergeCell ref="I55:J55"/>
    <mergeCell ref="D47:D48"/>
    <mergeCell ref="B26:C26"/>
    <mergeCell ref="A26:A27"/>
    <mergeCell ref="D26:E26"/>
    <mergeCell ref="I50:J50"/>
    <mergeCell ref="I49:J49"/>
    <mergeCell ref="I47:J48"/>
    <mergeCell ref="E47:H47"/>
    <mergeCell ref="B41:B42"/>
    <mergeCell ref="I51:J51"/>
    <mergeCell ref="I52:J52"/>
    <mergeCell ref="I53:J53"/>
  </mergeCells>
  <phoneticPr fontId="0" type="noConversion"/>
  <pageMargins left="0.59055118110236227" right="0.51181102362204722" top="0.59055118110236227" bottom="0.59055118110236227" header="0.51181102362204722" footer="0.51181102362204722"/>
  <pageSetup paperSize="9" scale="58" fitToHeight="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4">
    <outlinePr summaryBelow="0"/>
    <pageSetUpPr fitToPage="1"/>
  </sheetPr>
  <dimension ref="A1:T64"/>
  <sheetViews>
    <sheetView showGridLines="0" tabSelected="1" topLeftCell="A13" zoomScaleNormal="100" workbookViewId="0">
      <pane xSplit="1" topLeftCell="B1" activePane="topRight" state="frozen"/>
      <selection activeCell="A137" sqref="A137"/>
      <selection pane="topRight" activeCell="A31" sqref="A31"/>
    </sheetView>
  </sheetViews>
  <sheetFormatPr defaultRowHeight="11.25" outlineLevelRow="2"/>
  <cols>
    <col min="1" max="1" width="52.85546875" style="36" customWidth="1"/>
    <col min="2" max="3" width="11.7109375" style="36" customWidth="1"/>
    <col min="4" max="4" width="12.85546875" style="36" customWidth="1"/>
    <col min="5" max="7" width="10" style="36" customWidth="1"/>
    <col min="8" max="8" width="9.5703125" style="36" customWidth="1"/>
    <col min="9" max="9" width="9.7109375" style="36" customWidth="1"/>
    <col min="10" max="11" width="9.140625" style="36"/>
    <col min="12" max="13" width="10.28515625" style="68" customWidth="1"/>
    <col min="14" max="15" width="7.85546875" style="62" customWidth="1"/>
    <col min="16" max="16" width="8.28515625" style="89" customWidth="1"/>
    <col min="17" max="17" width="12.42578125" style="36" customWidth="1"/>
    <col min="18" max="20" width="10.140625" style="36" customWidth="1"/>
    <col min="21" max="16384" width="9.140625" style="36"/>
  </cols>
  <sheetData>
    <row r="1" spans="1:20" s="49" customFormat="1" ht="15">
      <c r="A1" s="80" t="s">
        <v>228</v>
      </c>
      <c r="B1" s="57"/>
      <c r="C1" s="57"/>
      <c r="D1" s="57"/>
      <c r="E1" s="57"/>
      <c r="F1" s="168"/>
      <c r="J1" s="57"/>
      <c r="K1" s="57"/>
      <c r="L1" s="66"/>
      <c r="M1" s="66"/>
      <c r="N1" s="60"/>
      <c r="P1" s="147"/>
      <c r="T1" s="82" t="s">
        <v>227</v>
      </c>
    </row>
    <row r="2" spans="1:20" s="49" customFormat="1" ht="13.5" thickBot="1">
      <c r="A2" s="81" t="s">
        <v>176</v>
      </c>
      <c r="B2" s="58"/>
      <c r="C2" s="58"/>
      <c r="D2" s="58"/>
      <c r="E2" s="58"/>
      <c r="F2" s="79"/>
      <c r="G2" s="146"/>
      <c r="H2" s="146"/>
      <c r="I2" s="146"/>
      <c r="J2" s="58"/>
      <c r="K2" s="58"/>
      <c r="L2" s="67"/>
      <c r="M2" s="67"/>
      <c r="N2" s="61"/>
      <c r="O2" s="146"/>
      <c r="P2" s="148"/>
      <c r="Q2" s="146"/>
      <c r="R2" s="146"/>
      <c r="S2" s="146"/>
      <c r="T2" s="95" t="str">
        <f>CONCATENATE("Data Base: ",TEXT(Parâmetros!$B$6,"dd/mm/aaaa"))</f>
        <v>Data Base: 19/05/2010</v>
      </c>
    </row>
    <row r="3" spans="1:20" ht="20.25" customHeight="1" thickTop="1">
      <c r="A3" s="35"/>
    </row>
    <row r="4" spans="1:20" ht="11.25" customHeight="1"/>
    <row r="5" spans="1:20" ht="12.75" customHeight="1">
      <c r="A5" s="72"/>
      <c r="B5" s="170"/>
      <c r="C5" s="178"/>
      <c r="D5" s="186" t="s">
        <v>151</v>
      </c>
      <c r="E5" s="208"/>
      <c r="F5" s="208"/>
      <c r="G5" s="209"/>
      <c r="H5" s="210" t="s">
        <v>160</v>
      </c>
      <c r="I5" s="211"/>
      <c r="J5" s="212"/>
      <c r="K5" s="203" t="s">
        <v>159</v>
      </c>
      <c r="L5" s="213"/>
      <c r="M5" s="213"/>
      <c r="N5" s="213"/>
      <c r="O5" s="214"/>
      <c r="P5" s="215"/>
      <c r="Q5" s="216"/>
    </row>
    <row r="6" spans="1:20" ht="21.75" customHeight="1">
      <c r="A6" s="71"/>
      <c r="B6" s="182" t="s">
        <v>254</v>
      </c>
      <c r="C6" s="183" t="s">
        <v>193</v>
      </c>
      <c r="D6" s="59" t="s">
        <v>149</v>
      </c>
      <c r="E6" s="42" t="s">
        <v>170</v>
      </c>
      <c r="F6" s="42" t="s">
        <v>171</v>
      </c>
      <c r="G6" s="42" t="s">
        <v>172</v>
      </c>
      <c r="H6" s="42" t="s">
        <v>168</v>
      </c>
      <c r="I6" s="42" t="s">
        <v>152</v>
      </c>
      <c r="J6" s="42" t="s">
        <v>154</v>
      </c>
      <c r="K6" s="42" t="s">
        <v>153</v>
      </c>
      <c r="L6" s="69" t="s">
        <v>155</v>
      </c>
      <c r="M6" s="69" t="s">
        <v>156</v>
      </c>
      <c r="N6" s="63" t="s">
        <v>157</v>
      </c>
      <c r="O6" s="63" t="s">
        <v>158</v>
      </c>
      <c r="P6" s="42" t="s">
        <v>235</v>
      </c>
      <c r="Q6" s="42" t="s">
        <v>236</v>
      </c>
    </row>
    <row r="7" spans="1:20">
      <c r="A7" s="47"/>
      <c r="B7" s="39"/>
      <c r="C7" s="39"/>
      <c r="D7" s="40"/>
      <c r="E7" s="40"/>
      <c r="F7" s="40"/>
      <c r="G7" s="40"/>
      <c r="H7" s="40"/>
      <c r="I7" s="40"/>
      <c r="J7" s="40"/>
      <c r="K7" s="40"/>
      <c r="L7" s="70"/>
      <c r="M7" s="70"/>
      <c r="N7" s="64"/>
      <c r="O7" s="64"/>
      <c r="P7" s="36"/>
    </row>
    <row r="8" spans="1:20" ht="15.75">
      <c r="A8" s="134" t="s">
        <v>202</v>
      </c>
      <c r="B8" s="44"/>
      <c r="C8" s="44"/>
      <c r="D8" s="45">
        <f>IF(MIN(D9:D42)&lt;&gt;0,MIN(D9:D42),"")</f>
        <v>40290</v>
      </c>
      <c r="E8" s="45">
        <f>IF(MAX(E9:E42)&lt;&gt;0,MAX(E9:E42),"")</f>
        <v>40319</v>
      </c>
      <c r="F8" s="45">
        <f>IF(MIN(F9:F42)&lt;&gt;0,MIN(F9:F42),"")</f>
        <v>40284</v>
      </c>
      <c r="G8" s="45" t="str">
        <f>IF(COUNT(E9:E42)=COUNT(G9:G42),MAX(G9:G42),"")</f>
        <v/>
      </c>
      <c r="H8" s="149">
        <f>SUMIF($B9:$B42,"&gt;0",H9:H42)</f>
        <v>272</v>
      </c>
      <c r="I8" s="149">
        <f>SUMIF($B9:$B42,"&gt;0",I9:I42)</f>
        <v>242</v>
      </c>
      <c r="J8" s="149">
        <f>SUMIF($B9:$B42,"&gt;0",J9:J42)</f>
        <v>26.5</v>
      </c>
      <c r="K8" s="149">
        <f>SUMIF($B9:$B42,"&gt;0",K9:K42)</f>
        <v>51.5</v>
      </c>
      <c r="L8" s="150">
        <f>+K8-I8</f>
        <v>-190.5</v>
      </c>
      <c r="M8" s="149">
        <f>+K8-J8</f>
        <v>25</v>
      </c>
      <c r="N8" s="157">
        <f>+IF(I8&lt;&gt;0,K8/I8,0)</f>
        <v>0.21280991735537191</v>
      </c>
      <c r="O8" s="157">
        <f>+IF(J8&lt;&gt;0,K8/J8,0)</f>
        <v>1.9433962264150944</v>
      </c>
      <c r="P8" s="149">
        <f>SUMIF($B9:$B42,"&gt;0",P9:P42)</f>
        <v>272</v>
      </c>
      <c r="Q8" s="149">
        <f>SUMIF($B9:$B42,"&gt;0",Q9:Q42)</f>
        <v>26.5</v>
      </c>
      <c r="R8" s="155"/>
      <c r="S8" s="155"/>
    </row>
    <row r="9" spans="1:20" ht="20.25" customHeight="1">
      <c r="A9" s="133" t="s">
        <v>237</v>
      </c>
      <c r="B9" s="44"/>
      <c r="C9" s="44"/>
      <c r="D9" s="45">
        <f>IF(MIN(D10:D42)&lt;&gt;0,MIN(D10:D42),"")</f>
        <v>40290</v>
      </c>
      <c r="E9" s="45">
        <f>IF(MAX(E10:E42)&lt;&gt;0,MAX(E10:E42),"")</f>
        <v>40319</v>
      </c>
      <c r="F9" s="45">
        <f>IF(MIN(F10:F43)&lt;&gt;0,MIN(F10:F43),"")</f>
        <v>40284</v>
      </c>
      <c r="G9" s="45" t="str">
        <f>IF(COUNT(E10:E42)=COUNT(G10:G42),MAX(G10:G42),"")</f>
        <v/>
      </c>
      <c r="H9" s="149">
        <f>SUMIF($B10:$B42,"&gt;0",H10:H42)</f>
        <v>272</v>
      </c>
      <c r="I9" s="149">
        <f ca="1">SUMIF($B10:$B42,"&gt;0",I10:I15)</f>
        <v>242</v>
      </c>
      <c r="J9" s="149">
        <f>SUMIF($B10:$B42,"&gt;0",J10:J42)</f>
        <v>26.5</v>
      </c>
      <c r="K9" s="149">
        <f>SUMIF($B10:$B42,"&gt;0",K10:K42)</f>
        <v>51.5</v>
      </c>
      <c r="L9" s="150">
        <f ca="1">+K9-I9</f>
        <v>-190.5</v>
      </c>
      <c r="M9" s="149">
        <f>+K9-J9</f>
        <v>25</v>
      </c>
      <c r="N9" s="157">
        <f ca="1">+IF(I9&lt;&gt;0,K9/I9,0)</f>
        <v>0.21280991735537191</v>
      </c>
      <c r="O9" s="157">
        <f>+IF(J9&lt;&gt;0,K9/J9,0)</f>
        <v>1.9433962264150944</v>
      </c>
      <c r="P9" s="149">
        <f>SUMIF($B10:$B42,"&gt;0",P10:P42)</f>
        <v>272</v>
      </c>
      <c r="Q9" s="149">
        <f>SUMIF($B10:$B42,"&gt;0",Q10:Q42)</f>
        <v>26.5</v>
      </c>
    </row>
    <row r="10" spans="1:20" ht="15" customHeight="1">
      <c r="A10" s="130" t="s">
        <v>238</v>
      </c>
      <c r="B10" s="131"/>
      <c r="C10" s="131"/>
      <c r="D10" s="132">
        <f>IF(MIN(D11:D16)&lt;&gt;0,MIN(D11:D16),"")</f>
        <v>40290</v>
      </c>
      <c r="E10" s="132">
        <f>IF(MAX(E11:E16)&lt;&gt;0,MAX(E11:E16),"")</f>
        <v>40296</v>
      </c>
      <c r="F10" s="132">
        <f>IF(MIN(F11:F16)&lt;&gt;0,MIN(F11:F16),"")</f>
        <v>40284</v>
      </c>
      <c r="G10" s="132">
        <f>IF(COUNT(E11:E16)=COUNT(G11:G16),MAX(G11:G16),"")</f>
        <v>40316</v>
      </c>
      <c r="H10" s="151">
        <f>SUMIF($B11:$B16,"&gt;0",H11:H16)</f>
        <v>36</v>
      </c>
      <c r="I10" s="151">
        <f>SUMIF($B11:$B16,"&gt;0",I11:I16)</f>
        <v>36</v>
      </c>
      <c r="J10" s="151">
        <f>SUMIF($B11:$B16,"&gt;0",J11:J16)</f>
        <v>15.5</v>
      </c>
      <c r="K10" s="151">
        <f>SUMIF($B11:$B16,"&gt;0",K11:K16)</f>
        <v>36</v>
      </c>
      <c r="L10" s="152">
        <f>+K10-I10</f>
        <v>0</v>
      </c>
      <c r="M10" s="151">
        <f>+K10-J10</f>
        <v>20.5</v>
      </c>
      <c r="N10" s="158">
        <f>+IF(I10&lt;&gt;0,K10/I10,0)</f>
        <v>1</v>
      </c>
      <c r="O10" s="158">
        <f>+IF(J10&lt;&gt;0,K10/J10,0)</f>
        <v>2.3225806451612905</v>
      </c>
      <c r="P10" s="151">
        <f>SUMIF($B11:$B16,"&gt;0",P11:P16)</f>
        <v>36</v>
      </c>
      <c r="Q10" s="151">
        <f>SUMIF($B11:$B16,"&gt;0",Q11:Q16)</f>
        <v>15.5</v>
      </c>
    </row>
    <row r="11" spans="1:20" ht="12" customHeight="1" outlineLevel="1">
      <c r="A11" s="78" t="s">
        <v>239</v>
      </c>
      <c r="B11" s="171"/>
      <c r="C11" s="179"/>
      <c r="D11" s="73">
        <f>IF(MIN(D12:D16)&lt;&gt;0,MIN(D12:D16),"")</f>
        <v>40290</v>
      </c>
      <c r="E11" s="73">
        <f>IF(MAX(E12:E16)&lt;&gt;0,MAX(E12:E16),"")</f>
        <v>40296</v>
      </c>
      <c r="F11" s="73">
        <f>IF(MIN(F12:F16)&lt;&gt;0,MIN(F12:F16),"")</f>
        <v>40284</v>
      </c>
      <c r="G11" s="73">
        <f>IF(COUNT(E12:E16)=COUNT(G12:G16),MAX(G12:G16),"")</f>
        <v>40316</v>
      </c>
      <c r="H11" s="153">
        <f>SUMIF($B12:$B16,"&gt;0",H12:H16)</f>
        <v>36</v>
      </c>
      <c r="I11" s="153">
        <f>SUMIF($B12:$B16,"&gt;0",I12:I16)</f>
        <v>36</v>
      </c>
      <c r="J11" s="153">
        <f>SUMIF($B12:$B16,"&gt;0",J12:J16)</f>
        <v>15.5</v>
      </c>
      <c r="K11" s="153">
        <f>SUMIF($B12:$B16,"&gt;0",K12:K16)</f>
        <v>36</v>
      </c>
      <c r="L11" s="153">
        <f>+K11-I11</f>
        <v>0</v>
      </c>
      <c r="M11" s="153">
        <f>+K11-J11</f>
        <v>20.5</v>
      </c>
      <c r="N11" s="159">
        <f>+IF(I11&lt;&gt;0,K11/I11,0)</f>
        <v>1</v>
      </c>
      <c r="O11" s="159">
        <f>+IF(J11&lt;&gt;0,K11/J11,0)</f>
        <v>2.3225806451612905</v>
      </c>
      <c r="P11" s="153">
        <f>SUMIF($B12:$B16,"&gt;0",P12:P16)</f>
        <v>36</v>
      </c>
      <c r="Q11" s="153">
        <f>SUMIF($B12:$B16,"&gt;0",Q12:Q16)</f>
        <v>15.5</v>
      </c>
    </row>
    <row r="12" spans="1:20" outlineLevel="2">
      <c r="A12" s="77" t="s">
        <v>241</v>
      </c>
      <c r="B12" s="135">
        <v>1</v>
      </c>
      <c r="C12" s="180" t="str">
        <f>Recursos</f>
        <v>Diego</v>
      </c>
      <c r="D12" s="43">
        <v>40290</v>
      </c>
      <c r="E12" s="43">
        <v>40296</v>
      </c>
      <c r="F12" s="43">
        <v>40292</v>
      </c>
      <c r="G12" s="43">
        <v>40316</v>
      </c>
      <c r="H12" s="154">
        <v>6</v>
      </c>
      <c r="I12" s="113">
        <f>+IF(AND(D12&lt;&gt;"",E12&lt;&gt;"",H12&lt;&gt;""),IF(D12&lt;Parâmetros!$B$6,IF(E12&gt;Parâmetros!$B$6,H12/2,H12),0),"")</f>
        <v>6</v>
      </c>
      <c r="J12" s="113">
        <v>7</v>
      </c>
      <c r="K12" s="113">
        <f>+IF(AND(F12&lt;&gt;"",H12&lt;&gt;""),IF(F12&lt;=Parâmetros!$B$6,IF(G12="",H12/2,IF(G12&gt;Parâmetros!$B$6,H12/2,H12)),0),"")</f>
        <v>6</v>
      </c>
      <c r="L12" s="113">
        <f>IF(AND(A12&gt;0,K12&lt;&gt;"",I12&lt;&gt;""),+K12-I12,"")</f>
        <v>0</v>
      </c>
      <c r="M12" s="113">
        <f>IF(AND(A12&gt;0,K12&lt;&gt;"",J12&lt;&gt;""),K12-J12,"")</f>
        <v>-1</v>
      </c>
      <c r="N12" s="160">
        <f>+IF(AND(A12&gt;0,I12&lt;&gt;0,I12&lt;&gt;"",K12&lt;&gt;""),K12/I12,"")</f>
        <v>1</v>
      </c>
      <c r="O12" s="172">
        <f>+IF(AND(A12&gt;0,K12&lt;&gt;"",J12&lt;&gt;0,J12&lt;&gt;""),K12/J12,"")</f>
        <v>0.8571428571428571</v>
      </c>
      <c r="P12" s="113">
        <f>H12</f>
        <v>6</v>
      </c>
      <c r="Q12" s="113">
        <f>J12</f>
        <v>7</v>
      </c>
    </row>
    <row r="13" spans="1:20" outlineLevel="2">
      <c r="A13" s="77" t="s">
        <v>242</v>
      </c>
      <c r="B13" s="135">
        <v>2</v>
      </c>
      <c r="C13" s="180" t="s">
        <v>216</v>
      </c>
      <c r="D13" s="43">
        <v>40290</v>
      </c>
      <c r="E13" s="43">
        <v>40296</v>
      </c>
      <c r="F13" s="43">
        <v>40316</v>
      </c>
      <c r="G13" s="43">
        <v>40316</v>
      </c>
      <c r="H13" s="154">
        <v>6</v>
      </c>
      <c r="I13" s="113">
        <f>+IF(AND(D13&lt;&gt;"",E13&lt;&gt;"",H13&lt;&gt;""),IF(D13&lt;Parâmetros!$B$6,IF(E13&gt;Parâmetros!$B$6,H13/2,H13),0),"")</f>
        <v>6</v>
      </c>
      <c r="J13" s="113">
        <v>2</v>
      </c>
      <c r="K13" s="113">
        <f>+IF(AND(F13&lt;&gt;"",H13&lt;&gt;""),IF(F13&lt;=Parâmetros!$B$6,IF(G13="",H13/2,IF(G13&gt;Parâmetros!$B$6,H13/2,H13)),0),"")</f>
        <v>6</v>
      </c>
      <c r="L13" s="113">
        <f>IF(AND(A13&gt;0,K13&lt;&gt;"",I13&lt;&gt;""),+K13-I13,"")</f>
        <v>0</v>
      </c>
      <c r="M13" s="113">
        <f>IF(AND(A13&gt;0,K13&lt;&gt;"",J13&lt;&gt;""),K13-J13,"")</f>
        <v>4</v>
      </c>
      <c r="N13" s="160">
        <f>+IF(AND(A13&gt;0,I13&lt;&gt;0,I13&lt;&gt;"",K13&lt;&gt;""),K13/I13,"")</f>
        <v>1</v>
      </c>
      <c r="O13" s="172">
        <f>+IF(AND(A13&gt;0,K13&lt;&gt;"",J13&lt;&gt;0,J13&lt;&gt;""),K13/J13,"")</f>
        <v>3</v>
      </c>
      <c r="P13" s="113">
        <f t="shared" ref="P13:P16" si="0">H13</f>
        <v>6</v>
      </c>
      <c r="Q13" s="113">
        <f t="shared" ref="Q13:Q16" si="1">J13</f>
        <v>2</v>
      </c>
    </row>
    <row r="14" spans="1:20" outlineLevel="2">
      <c r="A14" s="77" t="s">
        <v>240</v>
      </c>
      <c r="B14" s="135">
        <v>3</v>
      </c>
      <c r="C14" s="180" t="s">
        <v>232</v>
      </c>
      <c r="D14" s="43">
        <v>40290</v>
      </c>
      <c r="E14" s="43">
        <v>40296</v>
      </c>
      <c r="F14" s="43">
        <v>40284</v>
      </c>
      <c r="G14" s="43">
        <v>40284</v>
      </c>
      <c r="H14" s="154">
        <v>6</v>
      </c>
      <c r="I14" s="113">
        <f>+IF(AND(D14&lt;&gt;"",E14&lt;&gt;"",H14&lt;&gt;""),IF(D14&lt;Parâmetros!$B$6,IF(E14&gt;Parâmetros!$B$6,H14/2,H14),0),"")</f>
        <v>6</v>
      </c>
      <c r="J14" s="113">
        <v>2.5</v>
      </c>
      <c r="K14" s="113">
        <f>+IF(AND(F14&lt;&gt;"",H14&lt;&gt;""),IF(F14&lt;=Parâmetros!$B$6,IF(G14="",H14/2,IF(G14&gt;Parâmetros!$B$6,H14/2,H14)),0),"")</f>
        <v>6</v>
      </c>
      <c r="L14" s="113">
        <f>IF(AND(A14&gt;0,K14&lt;&gt;"",I14&lt;&gt;""),+K14-I14,"")</f>
        <v>0</v>
      </c>
      <c r="M14" s="113">
        <f>IF(AND(A14&gt;0,K14&lt;&gt;"",J14&lt;&gt;""),K14-J14,"")</f>
        <v>3.5</v>
      </c>
      <c r="N14" s="160">
        <f>+IF(AND(A14&gt;0,I14&lt;&gt;0,I14&lt;&gt;"",K14&lt;&gt;""),K14/I14,"")</f>
        <v>1</v>
      </c>
      <c r="O14" s="172">
        <f>+IF(AND(A14&gt;0,K14&lt;&gt;"",J14&lt;&gt;0,J14&lt;&gt;""),K14/J14,"")</f>
        <v>2.4</v>
      </c>
      <c r="P14" s="113">
        <f t="shared" si="0"/>
        <v>6</v>
      </c>
      <c r="Q14" s="113">
        <f t="shared" si="1"/>
        <v>2.5</v>
      </c>
    </row>
    <row r="15" spans="1:20" outlineLevel="2">
      <c r="A15" s="77" t="s">
        <v>243</v>
      </c>
      <c r="B15" s="135">
        <v>4</v>
      </c>
      <c r="C15" s="180" t="s">
        <v>231</v>
      </c>
      <c r="D15" s="43">
        <v>40290</v>
      </c>
      <c r="E15" s="43">
        <v>40296</v>
      </c>
      <c r="F15" s="43">
        <v>40291</v>
      </c>
      <c r="G15" s="43">
        <v>40296</v>
      </c>
      <c r="H15" s="154">
        <v>12</v>
      </c>
      <c r="I15" s="113">
        <f>+IF(AND(D15&lt;&gt;"",E15&lt;&gt;"",H15&lt;&gt;""),IF(D15&lt;Parâmetros!$B$6,IF(E15&gt;Parâmetros!$B$6,H15/2,H15),0),"")</f>
        <v>12</v>
      </c>
      <c r="J15" s="113">
        <v>3</v>
      </c>
      <c r="K15" s="113">
        <f>+IF(AND(F15&lt;&gt;"",H15&lt;&gt;""),IF(F15&lt;=Parâmetros!$B$6,IF(G15="",H15/2,IF(G15&gt;Parâmetros!$B$6,H15/2,H15)),0),"")</f>
        <v>12</v>
      </c>
      <c r="L15" s="113">
        <f>IF(AND(A15&gt;0,K15&lt;&gt;"",I15&lt;&gt;""),+K15-I15,"")</f>
        <v>0</v>
      </c>
      <c r="M15" s="113">
        <f>IF(AND(A15&gt;0,K15&lt;&gt;"",J15&lt;&gt;""),K15-J15,"")</f>
        <v>9</v>
      </c>
      <c r="N15" s="160">
        <f>+IF(AND(A15&gt;0,I15&lt;&gt;0,I15&lt;&gt;"",K15&lt;&gt;""),K15/I15,"")</f>
        <v>1</v>
      </c>
      <c r="O15" s="172">
        <f>+IF(AND(A15&gt;0,K15&lt;&gt;"",J15&lt;&gt;0,J15&lt;&gt;""),K15/J15,"")</f>
        <v>4</v>
      </c>
      <c r="P15" s="113">
        <f t="shared" si="0"/>
        <v>12</v>
      </c>
      <c r="Q15" s="113">
        <f t="shared" si="1"/>
        <v>3</v>
      </c>
    </row>
    <row r="16" spans="1:20" outlineLevel="2">
      <c r="A16" s="77" t="s">
        <v>244</v>
      </c>
      <c r="B16" s="135">
        <v>5</v>
      </c>
      <c r="C16" s="180" t="s">
        <v>232</v>
      </c>
      <c r="D16" s="43">
        <v>40290</v>
      </c>
      <c r="E16" s="43">
        <v>40296</v>
      </c>
      <c r="F16" s="43">
        <v>40284</v>
      </c>
      <c r="G16" s="43">
        <v>40310</v>
      </c>
      <c r="H16" s="154">
        <v>6</v>
      </c>
      <c r="I16" s="113">
        <f>+IF(AND(D16&lt;&gt;"",E16&lt;&gt;"",H16&lt;&gt;""),IF(D16&lt;Parâmetros!$B$6,IF(E16&gt;Parâmetros!$B$6,H16/2,H16),0),"")</f>
        <v>6</v>
      </c>
      <c r="J16" s="113">
        <v>1</v>
      </c>
      <c r="K16" s="113">
        <f>+IF(AND(F16&lt;&gt;"",H16&lt;&gt;""),IF(F16&lt;=Parâmetros!$B$6,IF(G16="",H16/2,IF(G16&gt;Parâmetros!$B$6,H16/2,H16)),0),"")</f>
        <v>6</v>
      </c>
      <c r="L16" s="113">
        <f>IF(AND(A16&gt;0,K16&lt;&gt;"",I16&lt;&gt;""),+K16-I16,"")</f>
        <v>0</v>
      </c>
      <c r="M16" s="113">
        <f>IF(AND(A16&gt;0,K16&lt;&gt;"",J16&lt;&gt;""),K16-J16,"")</f>
        <v>5</v>
      </c>
      <c r="N16" s="160">
        <f>+IF(AND(A16&gt;0,I16&lt;&gt;0,I16&lt;&gt;"",K16&lt;&gt;""),K16/I16,"")</f>
        <v>1</v>
      </c>
      <c r="O16" s="172">
        <f>+IF(AND(A16&gt;0,K16&lt;&gt;"",J16&lt;&gt;0,J16&lt;&gt;""),K16/J16,"")</f>
        <v>6</v>
      </c>
      <c r="P16" s="113">
        <f t="shared" si="0"/>
        <v>6</v>
      </c>
      <c r="Q16" s="113">
        <f t="shared" si="1"/>
        <v>1</v>
      </c>
    </row>
    <row r="17" spans="1:17" ht="15" customHeight="1">
      <c r="A17" s="130" t="s">
        <v>256</v>
      </c>
      <c r="B17" s="131"/>
      <c r="C17" s="131"/>
      <c r="D17" s="132">
        <f>IF(MIN(D18:D19)&lt;&gt;0,MIN(D18:D19),"")</f>
        <v>40290</v>
      </c>
      <c r="E17" s="132">
        <f>IF(MAX(E18:E19)&lt;&gt;0,MAX(E18:E19),"")</f>
        <v>40296</v>
      </c>
      <c r="F17" s="132">
        <f>IF(MIN(F18:F19)&lt;&gt;0,MIN(F18:F19),"")</f>
        <v>40290</v>
      </c>
      <c r="G17" s="132" t="str">
        <f>IF(COUNT(E18:E19)=COUNT(G18:G19),MAX(G18:G19),"")</f>
        <v/>
      </c>
      <c r="H17" s="151">
        <f>SUMIF($B18:$B19,"&gt;0",H18:H19)</f>
        <v>27</v>
      </c>
      <c r="I17" s="151">
        <f>SUMIF($B18:$B19,"&gt;0",I18:I19)</f>
        <v>27</v>
      </c>
      <c r="J17" s="151">
        <f>SUMIF($B18:$B19,"&gt;0",J18:J19)</f>
        <v>7</v>
      </c>
      <c r="K17" s="151">
        <f>SUMIF($B18:$B19,"&gt;0",K18:K19)</f>
        <v>13.5</v>
      </c>
      <c r="L17" s="152">
        <f>+K17-I17</f>
        <v>-13.5</v>
      </c>
      <c r="M17" s="151">
        <f>+K17-J17</f>
        <v>6.5</v>
      </c>
      <c r="N17" s="158">
        <f>+IF(I17&lt;&gt;0,K17/I17,0)</f>
        <v>0.5</v>
      </c>
      <c r="O17" s="158">
        <f>+IF(J17&lt;&gt;0,K17/J17,0)</f>
        <v>1.9285714285714286</v>
      </c>
      <c r="P17" s="151">
        <f ca="1">SUMIF($B18:$B22,"&gt;0",P18:P19)</f>
        <v>90</v>
      </c>
      <c r="Q17" s="151">
        <f>SUMIF($B18:$B22,"&gt;0",Q18:Q22)</f>
        <v>11</v>
      </c>
    </row>
    <row r="18" spans="1:17" ht="12" customHeight="1" outlineLevel="1">
      <c r="A18" s="78" t="s">
        <v>257</v>
      </c>
      <c r="B18" s="171"/>
      <c r="C18" s="179"/>
      <c r="D18" s="73">
        <f>IF(MIN(D19)&lt;&gt;0,MIN(D19),"")</f>
        <v>40290</v>
      </c>
      <c r="E18" s="73">
        <f>IF(MAX(E19)&lt;&gt;0,MAX(E19),"")</f>
        <v>40296</v>
      </c>
      <c r="F18" s="73">
        <f>IF(MIN(F19)&lt;&gt;0,MIN(F19),"")</f>
        <v>40290</v>
      </c>
      <c r="G18" s="73" t="str">
        <f>IF(COUNT(E19)=COUNT(G19),MAX(G19),"")</f>
        <v/>
      </c>
      <c r="H18" s="153">
        <f>SUMIF($B19,"&gt;0",H19)</f>
        <v>27</v>
      </c>
      <c r="I18" s="153">
        <f>SUMIF($B19,"&gt;0",I19)</f>
        <v>27</v>
      </c>
      <c r="J18" s="153">
        <f>SUMIF($B19,"&gt;0",J19)</f>
        <v>7</v>
      </c>
      <c r="K18" s="153">
        <f>SUMIF($B19,"&gt;0",K19)</f>
        <v>13.5</v>
      </c>
      <c r="L18" s="153">
        <f>+K18-I18</f>
        <v>-13.5</v>
      </c>
      <c r="M18" s="153">
        <f>+K18-J18</f>
        <v>6.5</v>
      </c>
      <c r="N18" s="159">
        <f>+IF(I18&lt;&gt;0,K18/I18,0)</f>
        <v>0.5</v>
      </c>
      <c r="O18" s="159">
        <f>+IF(J18&lt;&gt;0,K18/J18,0)</f>
        <v>1.9285714285714286</v>
      </c>
      <c r="P18" s="153">
        <f ca="1">SUMIF($B19:$B22,"&gt;0",P19)</f>
        <v>90</v>
      </c>
      <c r="Q18" s="153">
        <f>SUMIF($B19:$B22,"&gt;0",Q19:Q22)</f>
        <v>11</v>
      </c>
    </row>
    <row r="19" spans="1:17" outlineLevel="2">
      <c r="A19" s="77" t="s">
        <v>255</v>
      </c>
      <c r="B19" s="135">
        <v>24</v>
      </c>
      <c r="C19" s="180" t="s">
        <v>216</v>
      </c>
      <c r="D19" s="43">
        <v>40290</v>
      </c>
      <c r="E19" s="43">
        <v>40296</v>
      </c>
      <c r="F19" s="43">
        <v>40290</v>
      </c>
      <c r="G19" s="43"/>
      <c r="H19" s="154">
        <v>27</v>
      </c>
      <c r="I19" s="113">
        <f>+IF(AND(D19&lt;&gt;"",E19&lt;&gt;"",H19&lt;&gt;""),IF(D19&lt;Parâmetros!$B$6,IF(E19&gt;Parâmetros!$B$6,H19/2,H19),0),"")</f>
        <v>27</v>
      </c>
      <c r="J19" s="113">
        <v>7</v>
      </c>
      <c r="K19" s="113">
        <f>+IF(AND(F19&lt;&gt;"",H19&lt;&gt;""),IF(F19&lt;=Parâmetros!$B$6,IF(G19="",H19/2,IF(G19&gt;Parâmetros!$B$6,H19/2,H19)),0),"")</f>
        <v>13.5</v>
      </c>
      <c r="L19" s="113">
        <f>IF(AND(A19&gt;0,K19&lt;&gt;"",I19&lt;&gt;""),+K19-I19,"")</f>
        <v>-13.5</v>
      </c>
      <c r="M19" s="113">
        <f>IF(AND(A19&gt;0,K19&lt;&gt;"",J19&lt;&gt;""),K19-J19,"")</f>
        <v>6.5</v>
      </c>
      <c r="N19" s="160">
        <f>+IF(AND(A19&gt;0,I19&lt;&gt;0,I19&lt;&gt;"",K19&lt;&gt;""),K19/I19,"")</f>
        <v>0.5</v>
      </c>
      <c r="O19" s="172">
        <f>+IF(AND(A19&gt;0,K19&lt;&gt;"",J19&lt;&gt;0,J19&lt;&gt;""),K19/J19,"")</f>
        <v>1.9285714285714286</v>
      </c>
      <c r="P19" s="113">
        <f>H19</f>
        <v>27</v>
      </c>
      <c r="Q19" s="113">
        <f>J19</f>
        <v>7</v>
      </c>
    </row>
    <row r="20" spans="1:17" ht="15" customHeight="1">
      <c r="A20" s="130" t="s">
        <v>245</v>
      </c>
      <c r="B20" s="130"/>
      <c r="C20" s="130"/>
      <c r="D20" s="132">
        <f>IF(MIN(D21:D35)&lt;&gt;0,MIN(D21:D35),"")</f>
        <v>40297</v>
      </c>
      <c r="E20" s="132">
        <f>IF(MAX(E21:E35)&lt;&gt;0,MAX(E21:E35),"")</f>
        <v>40308</v>
      </c>
      <c r="F20" s="132">
        <f>IF(MIN(F21:F35)&lt;&gt;0,MIN(F21:F22),"")</f>
        <v>40299</v>
      </c>
      <c r="G20" s="132" t="str">
        <f>IF(COUNT(E21:E35)=COUNT(G21:G35),MAX(G21:G35),"")</f>
        <v/>
      </c>
      <c r="H20" s="151">
        <f>SUMIF($B21:$B35,"&gt;0",H21:H35)</f>
        <v>122</v>
      </c>
      <c r="I20" s="151">
        <f>SUMIF($B21:$B35,"&gt;0",I21:I35)</f>
        <v>122</v>
      </c>
      <c r="J20" s="151">
        <f>SUMIF($B21:$B35,"&gt;0",J21:J35)</f>
        <v>4</v>
      </c>
      <c r="K20" s="151">
        <f>SUMIF($B21:$B35,"&gt;0",K21:K35)</f>
        <v>2</v>
      </c>
      <c r="L20" s="152">
        <f>+K20-I20</f>
        <v>-120</v>
      </c>
      <c r="M20" s="151">
        <f>+K20-J20</f>
        <v>-2</v>
      </c>
      <c r="N20" s="158">
        <f>+IF(I20&lt;&gt;0,K20/I20,0)</f>
        <v>1.6393442622950821E-2</v>
      </c>
      <c r="O20" s="158">
        <f>+IF(J20&lt;&gt;0,K20/J20,0)</f>
        <v>0.5</v>
      </c>
      <c r="P20" s="151">
        <f>SUMIF($B21:$B35,"&gt;0",P21:P35)</f>
        <v>122</v>
      </c>
      <c r="Q20" s="151">
        <f>SUMIF($B21:$B35,"&gt;0",Q21:Q35)</f>
        <v>4</v>
      </c>
    </row>
    <row r="21" spans="1:17" ht="12" customHeight="1" outlineLevel="1">
      <c r="A21" s="78" t="s">
        <v>246</v>
      </c>
      <c r="B21" s="135">
        <v>6</v>
      </c>
      <c r="C21" s="180"/>
      <c r="D21" s="73">
        <f>IF(MIN(D22:D35)&lt;&gt;0,MIN(D22:D35),"")</f>
        <v>40297</v>
      </c>
      <c r="E21" s="73">
        <f>IF(MAX(E22:E35)&lt;&gt;0,MAX(E22:E35),"")</f>
        <v>40308</v>
      </c>
      <c r="F21" s="73">
        <f>IF(MIN(F22:F35)&lt;&gt;0,MIN(F22),"")</f>
        <v>40299</v>
      </c>
      <c r="G21" s="73" t="str">
        <f>IF(COUNT(E22:E35)=COUNT(G22:G35),MAX(G22:G26),"")</f>
        <v/>
      </c>
      <c r="H21" s="153">
        <f>SUMIF($B22:$B35,"&gt;0",H22:H35)</f>
        <v>61</v>
      </c>
      <c r="I21" s="153">
        <f>SUMIF($B22:$B35,"&gt;0",I22:I35)</f>
        <v>61</v>
      </c>
      <c r="J21" s="153">
        <f>SUMIF($B22:$B35,"&gt;0",J22:J35)</f>
        <v>2</v>
      </c>
      <c r="K21" s="153">
        <f>SUMIF($B22:$B35,"&gt;0",K22:K35)</f>
        <v>1</v>
      </c>
      <c r="L21" s="153">
        <f>+K21-I21</f>
        <v>-60</v>
      </c>
      <c r="M21" s="153">
        <f>+K21-J21</f>
        <v>-1</v>
      </c>
      <c r="N21" s="159">
        <f>+IF(I21&lt;&gt;0,K21/I21,0)</f>
        <v>1.6393442622950821E-2</v>
      </c>
      <c r="O21" s="159">
        <f>+IF(J21&lt;&gt;0,K21/J21,0)</f>
        <v>0.5</v>
      </c>
      <c r="P21" s="153">
        <f>SUMIF($B22:$B35,"&gt;0",P22:P35)</f>
        <v>61</v>
      </c>
      <c r="Q21" s="153">
        <f>SUMIF($B22:$B35,"&gt;0",Q22:Q35)</f>
        <v>2</v>
      </c>
    </row>
    <row r="22" spans="1:17" outlineLevel="2">
      <c r="A22" s="77" t="s">
        <v>248</v>
      </c>
      <c r="B22" s="135">
        <v>7</v>
      </c>
      <c r="C22" s="180" t="s">
        <v>251</v>
      </c>
      <c r="D22" s="43">
        <v>40297</v>
      </c>
      <c r="E22" s="43">
        <v>40298</v>
      </c>
      <c r="F22" s="43">
        <v>40299</v>
      </c>
      <c r="G22" s="43"/>
      <c r="H22" s="154">
        <v>2</v>
      </c>
      <c r="I22" s="113">
        <f>+IF(AND(D22&lt;&gt;"",E22&lt;&gt;"",H22&lt;&gt;""),IF(D22&lt;Parâmetros!$B$6,IF(E22&gt;Parâmetros!$B$6,H22/2,H22),0),"")</f>
        <v>2</v>
      </c>
      <c r="J22" s="113">
        <v>2</v>
      </c>
      <c r="K22" s="113">
        <f>+IF(AND(F22&lt;&gt;"",H22&lt;&gt;""),IF(F22&lt;=Parâmetros!$B$6,IF(G22="",H22/2,IF(G22&gt;Parâmetros!$B$6,H22/2,H22)),0),"")</f>
        <v>1</v>
      </c>
      <c r="L22" s="113">
        <f t="shared" ref="L22:L35" si="2">IF(AND(A22&gt;0,K22&lt;&gt;"",I22&lt;&gt;""),+K22-I22,"")</f>
        <v>-1</v>
      </c>
      <c r="M22" s="113">
        <f t="shared" ref="M22:M35" si="3">IF(AND(A22&gt;0,K22&lt;&gt;"",J22&lt;&gt;""),K22-J22,"")</f>
        <v>-1</v>
      </c>
      <c r="N22" s="160">
        <f t="shared" ref="N22:N35" si="4">+IF(AND(A22&gt;0,I22&lt;&gt;0,I22&lt;&gt;"",K22&lt;&gt;""),K22/I22,"")</f>
        <v>0.5</v>
      </c>
      <c r="O22" s="172">
        <f t="shared" ref="O22:O35" si="5">+IF(AND(A22&gt;0,K22&lt;&gt;"",J22&lt;&gt;0,J22&lt;&gt;""),K22/J22,"")</f>
        <v>0.5</v>
      </c>
      <c r="P22" s="113">
        <f t="shared" ref="P22:P35" si="6">H22</f>
        <v>2</v>
      </c>
      <c r="Q22" s="113">
        <f t="shared" ref="Q22:Q35" si="7">J22</f>
        <v>2</v>
      </c>
    </row>
    <row r="23" spans="1:17" outlineLevel="2">
      <c r="A23" s="77" t="s">
        <v>249</v>
      </c>
      <c r="B23" s="135">
        <v>8</v>
      </c>
      <c r="C23" s="180" t="s">
        <v>251</v>
      </c>
      <c r="D23" s="43">
        <v>40298</v>
      </c>
      <c r="E23" s="43">
        <v>40302</v>
      </c>
      <c r="F23" s="43"/>
      <c r="G23" s="43"/>
      <c r="H23" s="154">
        <v>5</v>
      </c>
      <c r="I23" s="113">
        <f>+IF(AND(D23&lt;&gt;"",E23&lt;&gt;"",H23&lt;&gt;""),IF(D23&lt;Parâmetros!$B$6,IF(E23&gt;Parâmetros!$B$6,H23/2,H23),0),"")</f>
        <v>5</v>
      </c>
      <c r="J23" s="113"/>
      <c r="K23" s="113" t="str">
        <f>+IF(AND(F23&lt;&gt;"",H23&lt;&gt;""),IF(F23&lt;=Parâmetros!$B$6,IF(G23="",H23/2,IF(G23&gt;Parâmetros!$B$6,H23/2,H23)),0),"")</f>
        <v/>
      </c>
      <c r="L23" s="113" t="str">
        <f t="shared" si="2"/>
        <v/>
      </c>
      <c r="M23" s="113" t="str">
        <f t="shared" si="3"/>
        <v/>
      </c>
      <c r="N23" s="160" t="str">
        <f t="shared" si="4"/>
        <v/>
      </c>
      <c r="O23" s="172" t="str">
        <f t="shared" si="5"/>
        <v/>
      </c>
      <c r="P23" s="113">
        <f t="shared" si="6"/>
        <v>5</v>
      </c>
      <c r="Q23" s="113">
        <f t="shared" si="7"/>
        <v>0</v>
      </c>
    </row>
    <row r="24" spans="1:17" outlineLevel="2">
      <c r="A24" s="77" t="s">
        <v>250</v>
      </c>
      <c r="B24" s="135"/>
      <c r="C24" s="180"/>
      <c r="D24" s="43"/>
      <c r="E24" s="43"/>
      <c r="F24" s="43"/>
      <c r="G24" s="43"/>
      <c r="H24" s="154"/>
      <c r="I24" s="113" t="str">
        <f>+IF(AND(D24&lt;&gt;"",E24&lt;&gt;"",H24&lt;&gt;""),IF(D24&lt;Parâmetros!$B$6,IF(E24&gt;Parâmetros!$B$6,H24/2,H24),0),"")</f>
        <v/>
      </c>
      <c r="J24" s="113"/>
      <c r="K24" s="113" t="str">
        <f>+IF(AND(F24&lt;&gt;"",H24&lt;&gt;""),IF(F24&lt;=Parâmetros!$B$6,IF(G24="",H24/2,IF(G24&gt;Parâmetros!$B$6,H24/2,H24)),0),"")</f>
        <v/>
      </c>
      <c r="L24" s="113" t="str">
        <f t="shared" si="2"/>
        <v/>
      </c>
      <c r="M24" s="113" t="str">
        <f t="shared" si="3"/>
        <v/>
      </c>
      <c r="N24" s="160" t="str">
        <f t="shared" si="4"/>
        <v/>
      </c>
      <c r="O24" s="172" t="str">
        <f t="shared" si="5"/>
        <v/>
      </c>
      <c r="P24" s="113">
        <f t="shared" si="6"/>
        <v>0</v>
      </c>
      <c r="Q24" s="113">
        <f t="shared" si="7"/>
        <v>0</v>
      </c>
    </row>
    <row r="25" spans="1:17" outlineLevel="2">
      <c r="A25" s="169" t="s">
        <v>241</v>
      </c>
      <c r="B25" s="135">
        <v>9</v>
      </c>
      <c r="C25" s="180" t="s">
        <v>231</v>
      </c>
      <c r="D25" s="43">
        <v>40303</v>
      </c>
      <c r="E25" s="43">
        <v>40303</v>
      </c>
      <c r="F25" s="43"/>
      <c r="G25" s="43"/>
      <c r="H25" s="154">
        <v>3</v>
      </c>
      <c r="I25" s="113">
        <f>+IF(AND(D25&lt;&gt;"",E25&lt;&gt;"",H25&lt;&gt;""),IF(D25&lt;Parâmetros!$B$6,IF(E25&gt;Parâmetros!$B$6,H25/2,H25),0),"")</f>
        <v>3</v>
      </c>
      <c r="J25" s="113"/>
      <c r="K25" s="113" t="str">
        <f>+IF(AND(F25&lt;&gt;"",H25&lt;&gt;""),IF(F25&lt;=Parâmetros!$B$6,IF(G25="",H25/2,IF(G25&gt;Parâmetros!$B$6,H25/2,H25)),0),"")</f>
        <v/>
      </c>
      <c r="L25" s="113" t="str">
        <f t="shared" si="2"/>
        <v/>
      </c>
      <c r="M25" s="113" t="str">
        <f t="shared" si="3"/>
        <v/>
      </c>
      <c r="N25" s="160" t="str">
        <f t="shared" si="4"/>
        <v/>
      </c>
      <c r="O25" s="172" t="str">
        <f t="shared" si="5"/>
        <v/>
      </c>
      <c r="P25" s="113">
        <f t="shared" si="6"/>
        <v>3</v>
      </c>
      <c r="Q25" s="113">
        <f t="shared" si="7"/>
        <v>0</v>
      </c>
    </row>
    <row r="26" spans="1:17" outlineLevel="2">
      <c r="A26" s="169" t="s">
        <v>242</v>
      </c>
      <c r="B26" s="135">
        <v>10</v>
      </c>
      <c r="C26" s="180" t="s">
        <v>231</v>
      </c>
      <c r="D26" s="43">
        <v>40304</v>
      </c>
      <c r="E26" s="43">
        <v>40304</v>
      </c>
      <c r="F26" s="43"/>
      <c r="G26" s="43"/>
      <c r="H26" s="154">
        <v>3</v>
      </c>
      <c r="I26" s="113">
        <f>+IF(AND(D26&lt;&gt;"",E26&lt;&gt;"",H26&lt;&gt;""),IF(D26&lt;Parâmetros!$B$6,IF(E26&gt;Parâmetros!$B$6,H26/2,H26),0),"")</f>
        <v>3</v>
      </c>
      <c r="J26" s="113"/>
      <c r="K26" s="113" t="str">
        <f>+IF(AND(F26&lt;&gt;"",H26&lt;&gt;""),IF(F26&lt;=Parâmetros!$B$6,IF(G26="",H26/2,IF(G26&gt;Parâmetros!$B$6,H26/2,H26)),0),"")</f>
        <v/>
      </c>
      <c r="L26" s="113" t="str">
        <f t="shared" si="2"/>
        <v/>
      </c>
      <c r="M26" s="113" t="str">
        <f t="shared" si="3"/>
        <v/>
      </c>
      <c r="N26" s="160" t="str">
        <f t="shared" si="4"/>
        <v/>
      </c>
      <c r="O26" s="172" t="str">
        <f t="shared" si="5"/>
        <v/>
      </c>
      <c r="P26" s="113">
        <f t="shared" si="6"/>
        <v>3</v>
      </c>
      <c r="Q26" s="113">
        <f t="shared" si="7"/>
        <v>0</v>
      </c>
    </row>
    <row r="27" spans="1:17" outlineLevel="2">
      <c r="A27" s="169" t="s">
        <v>240</v>
      </c>
      <c r="B27" s="135">
        <v>11</v>
      </c>
      <c r="C27" s="180" t="s">
        <v>216</v>
      </c>
      <c r="D27" s="43">
        <v>40303</v>
      </c>
      <c r="E27" s="43">
        <v>40303</v>
      </c>
      <c r="F27" s="43"/>
      <c r="G27" s="43"/>
      <c r="H27" s="154">
        <v>3</v>
      </c>
      <c r="I27" s="113">
        <f>+IF(AND(D27&lt;&gt;"",E27&lt;&gt;"",H27&lt;&gt;""),IF(D27&lt;Parâmetros!$B$6,IF(E27&gt;Parâmetros!$B$6,H27/2,H27),0),"")</f>
        <v>3</v>
      </c>
      <c r="J27" s="113"/>
      <c r="K27" s="113" t="str">
        <f>+IF(AND(F27&lt;&gt;"",H27&lt;&gt;""),IF(F27&lt;=Parâmetros!$B$6,IF(G27="",H27/2,IF(G27&gt;Parâmetros!$B$6,H27/2,H27)),0),"")</f>
        <v/>
      </c>
      <c r="L27" s="113" t="str">
        <f t="shared" si="2"/>
        <v/>
      </c>
      <c r="M27" s="113" t="str">
        <f t="shared" si="3"/>
        <v/>
      </c>
      <c r="N27" s="160" t="str">
        <f t="shared" si="4"/>
        <v/>
      </c>
      <c r="O27" s="172" t="str">
        <f t="shared" si="5"/>
        <v/>
      </c>
      <c r="P27" s="113">
        <f t="shared" si="6"/>
        <v>3</v>
      </c>
      <c r="Q27" s="113">
        <f t="shared" si="7"/>
        <v>0</v>
      </c>
    </row>
    <row r="28" spans="1:17" outlineLevel="2">
      <c r="A28" s="169" t="s">
        <v>243</v>
      </c>
      <c r="B28" s="135">
        <v>12</v>
      </c>
      <c r="C28" s="180" t="s">
        <v>232</v>
      </c>
      <c r="D28" s="43">
        <v>40303</v>
      </c>
      <c r="E28" s="43">
        <v>40304</v>
      </c>
      <c r="F28" s="43"/>
      <c r="G28" s="43"/>
      <c r="H28" s="154">
        <v>6</v>
      </c>
      <c r="I28" s="113">
        <f>+IF(AND(D28&lt;&gt;"",E28&lt;&gt;"",H28&lt;&gt;""),IF(D28&lt;Parâmetros!$B$6,IF(E28&gt;Parâmetros!$B$6,H28/2,H28),0),"")</f>
        <v>6</v>
      </c>
      <c r="J28" s="113"/>
      <c r="K28" s="113" t="str">
        <f>+IF(AND(F28&lt;&gt;"",H28&lt;&gt;""),IF(F28&lt;=Parâmetros!$B$6,IF(G28="",H28/2,IF(G28&gt;Parâmetros!$B$6,H28/2,H28)),0),"")</f>
        <v/>
      </c>
      <c r="L28" s="113" t="str">
        <f t="shared" si="2"/>
        <v/>
      </c>
      <c r="M28" s="113" t="str">
        <f t="shared" si="3"/>
        <v/>
      </c>
      <c r="N28" s="160" t="str">
        <f t="shared" si="4"/>
        <v/>
      </c>
      <c r="O28" s="172" t="str">
        <f t="shared" si="5"/>
        <v/>
      </c>
      <c r="P28" s="113">
        <f t="shared" si="6"/>
        <v>6</v>
      </c>
      <c r="Q28" s="113">
        <f t="shared" si="7"/>
        <v>0</v>
      </c>
    </row>
    <row r="29" spans="1:17" outlineLevel="2">
      <c r="A29" s="169" t="s">
        <v>244</v>
      </c>
      <c r="B29" s="135">
        <v>13</v>
      </c>
      <c r="C29" s="180" t="s">
        <v>216</v>
      </c>
      <c r="D29" s="43">
        <v>40304</v>
      </c>
      <c r="E29" s="43">
        <v>40304</v>
      </c>
      <c r="F29" s="43"/>
      <c r="G29" s="43"/>
      <c r="H29" s="154">
        <v>3</v>
      </c>
      <c r="I29" s="113">
        <f>+IF(AND(D29&lt;&gt;"",E29&lt;&gt;"",H29&lt;&gt;""),IF(D29&lt;Parâmetros!$B$6,IF(E29&gt;Parâmetros!$B$6,H29/2,H29),0),"")</f>
        <v>3</v>
      </c>
      <c r="J29" s="113"/>
      <c r="K29" s="113" t="str">
        <f>+IF(AND(F29&lt;&gt;"",H29&lt;&gt;""),IF(F29&lt;=Parâmetros!$B$6,IF(G29="",H29/2,IF(G29&gt;Parâmetros!$B$6,H29/2,H29)),0),"")</f>
        <v/>
      </c>
      <c r="L29" s="113" t="str">
        <f t="shared" si="2"/>
        <v/>
      </c>
      <c r="M29" s="113" t="str">
        <f t="shared" si="3"/>
        <v/>
      </c>
      <c r="N29" s="160" t="str">
        <f t="shared" si="4"/>
        <v/>
      </c>
      <c r="O29" s="172" t="str">
        <f t="shared" si="5"/>
        <v/>
      </c>
      <c r="P29" s="113">
        <f t="shared" si="6"/>
        <v>3</v>
      </c>
      <c r="Q29" s="113">
        <f t="shared" si="7"/>
        <v>0</v>
      </c>
    </row>
    <row r="30" spans="1:17" outlineLevel="2">
      <c r="A30" s="77" t="s">
        <v>258</v>
      </c>
      <c r="B30" s="135"/>
      <c r="C30" s="135"/>
      <c r="D30" s="43"/>
      <c r="E30" s="43"/>
      <c r="F30" s="43"/>
      <c r="G30" s="43"/>
      <c r="H30" s="154"/>
      <c r="I30" s="113" t="str">
        <f>+IF(AND(D30&lt;&gt;"",E30&lt;&gt;"",H30&lt;&gt;""),IF(D30&lt;Parâmetros!$B$6,IF(E30&gt;Parâmetros!$B$6,H30/2,H30),0),"")</f>
        <v/>
      </c>
      <c r="J30" s="113"/>
      <c r="K30" s="113" t="str">
        <f>+IF(AND(F30&lt;&gt;"",H30&lt;&gt;""),IF(F30&lt;=Parâmetros!$B$6,IF(G30="",H30/2,IF(G30&gt;Parâmetros!$B$6,H30/2,H30)),0),"")</f>
        <v/>
      </c>
      <c r="L30" s="113" t="str">
        <f t="shared" si="2"/>
        <v/>
      </c>
      <c r="M30" s="113" t="str">
        <f t="shared" si="3"/>
        <v/>
      </c>
      <c r="N30" s="160" t="str">
        <f t="shared" si="4"/>
        <v/>
      </c>
      <c r="O30" s="172" t="str">
        <f t="shared" si="5"/>
        <v/>
      </c>
      <c r="P30" s="113">
        <f t="shared" si="6"/>
        <v>0</v>
      </c>
      <c r="Q30" s="113">
        <f t="shared" si="7"/>
        <v>0</v>
      </c>
    </row>
    <row r="31" spans="1:17" outlineLevel="2">
      <c r="A31" s="169" t="s">
        <v>241</v>
      </c>
      <c r="B31" s="135">
        <v>14</v>
      </c>
      <c r="C31" s="180" t="s">
        <v>231</v>
      </c>
      <c r="D31" s="43">
        <v>40304</v>
      </c>
      <c r="E31" s="43">
        <v>40304</v>
      </c>
      <c r="F31" s="43"/>
      <c r="G31" s="43"/>
      <c r="H31" s="154">
        <v>6</v>
      </c>
      <c r="I31" s="113">
        <f>+IF(AND(D31&lt;&gt;"",E31&lt;&gt;"",H31&lt;&gt;""),IF(D31&lt;Parâmetros!$B$6,IF(E31&gt;Parâmetros!$B$6,H31/2,H31),0),"")</f>
        <v>6</v>
      </c>
      <c r="J31" s="113"/>
      <c r="K31" s="113" t="str">
        <f>+IF(AND(F31&lt;&gt;"",H31&lt;&gt;""),IF(F31&lt;=Parâmetros!$B$6,IF(G31="",H31/2,IF(G31&gt;Parâmetros!$B$6,H31/2,H31)),0),"")</f>
        <v/>
      </c>
      <c r="L31" s="113" t="str">
        <f t="shared" si="2"/>
        <v/>
      </c>
      <c r="M31" s="113" t="str">
        <f t="shared" si="3"/>
        <v/>
      </c>
      <c r="N31" s="160" t="str">
        <f t="shared" si="4"/>
        <v/>
      </c>
      <c r="O31" s="172" t="str">
        <f t="shared" si="5"/>
        <v/>
      </c>
      <c r="P31" s="113">
        <f t="shared" si="6"/>
        <v>6</v>
      </c>
      <c r="Q31" s="113">
        <f t="shared" si="7"/>
        <v>0</v>
      </c>
    </row>
    <row r="32" spans="1:17" outlineLevel="2">
      <c r="A32" s="169" t="s">
        <v>242</v>
      </c>
      <c r="B32" s="135">
        <v>15</v>
      </c>
      <c r="C32" s="180" t="s">
        <v>231</v>
      </c>
      <c r="D32" s="43">
        <v>40305</v>
      </c>
      <c r="E32" s="43">
        <v>40305</v>
      </c>
      <c r="F32" s="43"/>
      <c r="G32" s="43"/>
      <c r="H32" s="154">
        <v>6</v>
      </c>
      <c r="I32" s="113">
        <f>+IF(AND(D32&lt;&gt;"",E32&lt;&gt;"",H32&lt;&gt;""),IF(D32&lt;Parâmetros!$B$6,IF(E32&gt;Parâmetros!$B$6,H32/2,H32),0),"")</f>
        <v>6</v>
      </c>
      <c r="J32" s="113"/>
      <c r="K32" s="113" t="str">
        <f>+IF(AND(F32&lt;&gt;"",H32&lt;&gt;""),IF(F32&lt;=Parâmetros!$B$6,IF(G32="",H32/2,IF(G32&gt;Parâmetros!$B$6,H32/2,H32)),0),"")</f>
        <v/>
      </c>
      <c r="L32" s="113" t="str">
        <f t="shared" si="2"/>
        <v/>
      </c>
      <c r="M32" s="113" t="str">
        <f t="shared" si="3"/>
        <v/>
      </c>
      <c r="N32" s="160" t="str">
        <f t="shared" si="4"/>
        <v/>
      </c>
      <c r="O32" s="172" t="str">
        <f t="shared" si="5"/>
        <v/>
      </c>
      <c r="P32" s="113">
        <f t="shared" si="6"/>
        <v>6</v>
      </c>
      <c r="Q32" s="113">
        <f t="shared" si="7"/>
        <v>0</v>
      </c>
    </row>
    <row r="33" spans="1:17" outlineLevel="2">
      <c r="A33" s="169" t="s">
        <v>240</v>
      </c>
      <c r="B33" s="135">
        <v>16</v>
      </c>
      <c r="C33" s="180" t="s">
        <v>216</v>
      </c>
      <c r="D33" s="43">
        <v>40305</v>
      </c>
      <c r="E33" s="43">
        <v>40305</v>
      </c>
      <c r="F33" s="43"/>
      <c r="G33" s="43"/>
      <c r="H33" s="154">
        <v>6</v>
      </c>
      <c r="I33" s="113">
        <f>+IF(AND(D33&lt;&gt;"",E33&lt;&gt;"",H33&lt;&gt;""),IF(D33&lt;Parâmetros!$B$6,IF(E33&gt;Parâmetros!$B$6,H33/2,H33),0),"")</f>
        <v>6</v>
      </c>
      <c r="J33" s="113"/>
      <c r="K33" s="113" t="str">
        <f>+IF(AND(F33&lt;&gt;"",H33&lt;&gt;""),IF(F33&lt;=Parâmetros!$B$6,IF(G33="",H33/2,IF(G33&gt;Parâmetros!$B$6,H33/2,H33)),0),"")</f>
        <v/>
      </c>
      <c r="L33" s="113" t="str">
        <f t="shared" si="2"/>
        <v/>
      </c>
      <c r="M33" s="113" t="str">
        <f t="shared" si="3"/>
        <v/>
      </c>
      <c r="N33" s="160" t="str">
        <f t="shared" si="4"/>
        <v/>
      </c>
      <c r="O33" s="172" t="str">
        <f t="shared" si="5"/>
        <v/>
      </c>
      <c r="P33" s="113">
        <f t="shared" si="6"/>
        <v>6</v>
      </c>
      <c r="Q33" s="113">
        <f t="shared" si="7"/>
        <v>0</v>
      </c>
    </row>
    <row r="34" spans="1:17" outlineLevel="2">
      <c r="A34" s="169" t="s">
        <v>243</v>
      </c>
      <c r="B34" s="135">
        <v>17</v>
      </c>
      <c r="C34" s="180" t="s">
        <v>232</v>
      </c>
      <c r="D34" s="43">
        <v>40305</v>
      </c>
      <c r="E34" s="43">
        <v>40308</v>
      </c>
      <c r="F34" s="43"/>
      <c r="G34" s="43"/>
      <c r="H34" s="154">
        <v>12</v>
      </c>
      <c r="I34" s="113">
        <f>+IF(AND(D34&lt;&gt;"",E34&lt;&gt;"",H34&lt;&gt;""),IF(D34&lt;Parâmetros!$B$6,IF(E34&gt;Parâmetros!$B$6,H34/2,H34),0),"")</f>
        <v>12</v>
      </c>
      <c r="J34" s="113"/>
      <c r="K34" s="113" t="str">
        <f>+IF(AND(F34&lt;&gt;"",H34&lt;&gt;""),IF(F34&lt;=Parâmetros!$B$6,IF(G34="",H34/2,IF(G34&gt;Parâmetros!$B$6,H34/2,H34)),0),"")</f>
        <v/>
      </c>
      <c r="L34" s="113" t="str">
        <f t="shared" si="2"/>
        <v/>
      </c>
      <c r="M34" s="113" t="str">
        <f t="shared" si="3"/>
        <v/>
      </c>
      <c r="N34" s="160" t="str">
        <f t="shared" si="4"/>
        <v/>
      </c>
      <c r="O34" s="172" t="str">
        <f t="shared" si="5"/>
        <v/>
      </c>
      <c r="P34" s="113">
        <f t="shared" si="6"/>
        <v>12</v>
      </c>
      <c r="Q34" s="113">
        <f t="shared" si="7"/>
        <v>0</v>
      </c>
    </row>
    <row r="35" spans="1:17" outlineLevel="2">
      <c r="A35" s="169" t="s">
        <v>244</v>
      </c>
      <c r="B35" s="135">
        <v>18</v>
      </c>
      <c r="C35" s="180" t="s">
        <v>216</v>
      </c>
      <c r="D35" s="43">
        <v>40306</v>
      </c>
      <c r="E35" s="43">
        <v>40308</v>
      </c>
      <c r="F35" s="43"/>
      <c r="G35" s="43"/>
      <c r="H35" s="154">
        <v>6</v>
      </c>
      <c r="I35" s="113">
        <f>+IF(AND(D35&lt;&gt;"",E35&lt;&gt;"",H35&lt;&gt;""),IF(D35&lt;Parâmetros!$B$6,IF(E35&gt;Parâmetros!$B$6,H35/2,H35),0),"")</f>
        <v>6</v>
      </c>
      <c r="J35" s="113"/>
      <c r="K35" s="113" t="str">
        <f>+IF(AND(F35&lt;&gt;"",H35&lt;&gt;""),IF(F35&lt;=Parâmetros!$B$6,IF(G35="",H35/2,IF(G35&gt;Parâmetros!$B$6,H35/2,H35)),0),"")</f>
        <v/>
      </c>
      <c r="L35" s="113" t="str">
        <f t="shared" si="2"/>
        <v/>
      </c>
      <c r="M35" s="113" t="str">
        <f t="shared" si="3"/>
        <v/>
      </c>
      <c r="N35" s="160" t="str">
        <f t="shared" si="4"/>
        <v/>
      </c>
      <c r="O35" s="172" t="str">
        <f t="shared" si="5"/>
        <v/>
      </c>
      <c r="P35" s="113">
        <f t="shared" si="6"/>
        <v>6</v>
      </c>
      <c r="Q35" s="113">
        <f t="shared" si="7"/>
        <v>0</v>
      </c>
    </row>
    <row r="36" spans="1:17" ht="15" customHeight="1">
      <c r="A36" s="130" t="s">
        <v>252</v>
      </c>
      <c r="B36" s="131"/>
      <c r="C36" s="131"/>
      <c r="D36" s="132">
        <f>IF(MIN(D37:D42)&lt;&gt;0,MIN(D37:D42),"")</f>
        <v>40308</v>
      </c>
      <c r="E36" s="132">
        <f>IF(MAX(E37:E42)&lt;&gt;0,MAX(E37:E42),"")</f>
        <v>40319</v>
      </c>
      <c r="F36" s="132" t="str">
        <f>IF(COUNT(D37:D42)=COUNT(F37:F42),MAX(F37:F42),"")</f>
        <v/>
      </c>
      <c r="G36" s="132" t="str">
        <f>IF(COUNT(E37:E42)=COUNT(G37:G42),MAX(G37:G42),"")</f>
        <v/>
      </c>
      <c r="H36" s="151">
        <f>SUMIF($B37:$B42,"&gt;0",H37:H42)</f>
        <v>87</v>
      </c>
      <c r="I36" s="151">
        <f>SUMIF($B37:$B42,"&gt;0",I37:I42)</f>
        <v>57</v>
      </c>
      <c r="J36" s="151">
        <f>SUMIF($B37:$B42,"&gt;0",J37:J42)</f>
        <v>0</v>
      </c>
      <c r="K36" s="151">
        <f>SUMIF($B37:$B42,"&gt;0",K37:K42)</f>
        <v>0</v>
      </c>
      <c r="L36" s="152">
        <f>+K36-I36</f>
        <v>-57</v>
      </c>
      <c r="M36" s="151">
        <f>+K36-J36</f>
        <v>0</v>
      </c>
      <c r="N36" s="158">
        <f>+IF(I36&lt;&gt;0,K36/I36,0)</f>
        <v>0</v>
      </c>
      <c r="O36" s="158">
        <f>+IF(J36&lt;&gt;0,K36/J36,0)</f>
        <v>0</v>
      </c>
      <c r="P36" s="151" t="e">
        <f>SUMIF(#REF!,"&gt;0",P37:P38)</f>
        <v>#REF!</v>
      </c>
      <c r="Q36" s="151">
        <f>SUMIF($B37:$B42,"&gt;0",Q37:Q42)</f>
        <v>0</v>
      </c>
    </row>
    <row r="37" spans="1:17" ht="22.5" outlineLevel="1">
      <c r="A37" s="181" t="s">
        <v>247</v>
      </c>
      <c r="B37" s="171"/>
      <c r="C37" s="171"/>
      <c r="D37" s="73">
        <f>IF(MIN(D38:D38)&lt;&gt;0,MIN(D38:D38),"")</f>
        <v>40309</v>
      </c>
      <c r="E37" s="73">
        <f>IF(MAX(E38:E42)&lt;&gt;0,MAX(E38:E42),"")</f>
        <v>40319</v>
      </c>
      <c r="F37" s="73" t="str">
        <f>IF(COUNT(D38:D42)=COUNT(F38:F42),MAX(F38:F42),"")</f>
        <v/>
      </c>
      <c r="G37" s="73" t="str">
        <f>IF(COUNT(E38:E42)=COUNT(G38:G42),MAX(G38:G42),"")</f>
        <v/>
      </c>
      <c r="H37" s="153">
        <f>SUMIF($B38:$B42,"&gt;0",H38:H42)</f>
        <v>87</v>
      </c>
      <c r="I37" s="113">
        <f>+IF(AND(D37&lt;&gt;"",E37&lt;&gt;"",H37&lt;&gt;""),IF(D37&lt;Parâmetros!$B$7,IF(E37&gt;Parâmetros!$B$7,H37/2,H37),0),"")</f>
        <v>0</v>
      </c>
      <c r="J37" s="153">
        <f>SUMIF($B38:$B42,"&gt;0",J38:J42)</f>
        <v>0</v>
      </c>
      <c r="K37" s="153">
        <f>SUMIF($B38:$B42,"&gt;0",K38:K42)</f>
        <v>0</v>
      </c>
      <c r="L37" s="153">
        <f>+K37-I37</f>
        <v>0</v>
      </c>
      <c r="M37" s="153">
        <f>+K37-J37</f>
        <v>0</v>
      </c>
      <c r="N37" s="159">
        <f>+IF(I37&lt;&gt;0,K37/I37,0)</f>
        <v>0</v>
      </c>
      <c r="O37" s="159">
        <f>+IF(J37&lt;&gt;0,K37/J37,0)</f>
        <v>0</v>
      </c>
      <c r="P37" s="153">
        <f>SUMIF($B38:$B42,"&gt;0",P38:P42)</f>
        <v>87</v>
      </c>
      <c r="Q37" s="153">
        <f>SUMIF($B38:$B42,"&gt;0",Q38:Q42)</f>
        <v>0</v>
      </c>
    </row>
    <row r="38" spans="1:17" outlineLevel="2">
      <c r="A38" s="77" t="s">
        <v>241</v>
      </c>
      <c r="B38" s="135">
        <v>19</v>
      </c>
      <c r="C38" s="180" t="s">
        <v>232</v>
      </c>
      <c r="D38" s="43">
        <v>40309</v>
      </c>
      <c r="E38" s="43">
        <v>40312</v>
      </c>
      <c r="F38" s="43"/>
      <c r="G38" s="43"/>
      <c r="H38" s="154">
        <v>12</v>
      </c>
      <c r="I38" s="113">
        <f>+IF(AND(D38&lt;&gt;"",E38&lt;&gt;"",H38&lt;&gt;""),IF(D38&lt;Parâmetros!$B$6,IF(E38&gt;Parâmetros!$B$6,H38/2,H38),0),"")</f>
        <v>12</v>
      </c>
      <c r="J38" s="113"/>
      <c r="K38" s="113" t="str">
        <f>+IF(AND(F38&lt;&gt;"",H38&lt;&gt;""),IF(F38&lt;=Parâmetros!$B$6,IF(G38="",H38/2,IF(G38&gt;Parâmetros!$B$6,H38/2,H38)),0),"")</f>
        <v/>
      </c>
      <c r="L38" s="113" t="str">
        <f>IF(AND(A38&gt;0,K38&lt;&gt;"",I38&lt;&gt;""),+K38-I38,"")</f>
        <v/>
      </c>
      <c r="M38" s="113" t="str">
        <f>IF(AND(A38&gt;0,K38&lt;&gt;"",J38&lt;&gt;""),K38-J38,"")</f>
        <v/>
      </c>
      <c r="N38" s="160" t="str">
        <f>+IF(AND(A38&gt;0,I38&lt;&gt;0,I38&lt;&gt;"",K38&lt;&gt;""),K38/I38,"")</f>
        <v/>
      </c>
      <c r="O38" s="172" t="str">
        <f>+IF(AND(A38&gt;0,K38&lt;&gt;"",J38&lt;&gt;0,J38&lt;&gt;""),K38/J38,"")</f>
        <v/>
      </c>
      <c r="P38" s="113">
        <f t="shared" ref="P38:P42" si="8">H38</f>
        <v>12</v>
      </c>
      <c r="Q38" s="113">
        <f t="shared" ref="Q38:Q42" si="9">J38</f>
        <v>0</v>
      </c>
    </row>
    <row r="39" spans="1:17" outlineLevel="2">
      <c r="A39" s="77" t="s">
        <v>242</v>
      </c>
      <c r="B39" s="135">
        <v>20</v>
      </c>
      <c r="C39" s="180" t="s">
        <v>232</v>
      </c>
      <c r="D39" s="43">
        <v>40315</v>
      </c>
      <c r="E39" s="43">
        <v>40319</v>
      </c>
      <c r="F39" s="43"/>
      <c r="G39" s="43"/>
      <c r="H39" s="154">
        <v>15</v>
      </c>
      <c r="I39" s="113">
        <f>+IF(AND(D39&lt;&gt;"",E39&lt;&gt;"",H39&lt;&gt;""),IF(D39&lt;Parâmetros!$B$6,IF(E39&gt;Parâmetros!$B$6,H39/2,H39),0),"")</f>
        <v>7.5</v>
      </c>
      <c r="J39" s="113"/>
      <c r="K39" s="113" t="str">
        <f>+IF(AND(F39&lt;&gt;"",H39&lt;&gt;""),IF(F39&lt;=Parâmetros!$B$6,IF(G39="",H39/2,IF(G39&gt;Parâmetros!$B$6,H39/2,H39)),0),"")</f>
        <v/>
      </c>
      <c r="L39" s="113" t="str">
        <f>IF(AND(A39&gt;0,K39&lt;&gt;"",I39&lt;&gt;""),+K39-I39,"")</f>
        <v/>
      </c>
      <c r="M39" s="113" t="str">
        <f>IF(AND(A39&gt;0,K39&lt;&gt;"",J39&lt;&gt;""),K39-J39,"")</f>
        <v/>
      </c>
      <c r="N39" s="160" t="str">
        <f>+IF(AND(A39&gt;0,I39&lt;&gt;0,I39&lt;&gt;"",K39&lt;&gt;""),K39/I39,"")</f>
        <v/>
      </c>
      <c r="O39" s="172" t="str">
        <f>+IF(AND(A39&gt;0,K39&lt;&gt;"",J39&lt;&gt;0,J39&lt;&gt;""),K39/J39,"")</f>
        <v/>
      </c>
      <c r="P39" s="113">
        <f t="shared" si="8"/>
        <v>15</v>
      </c>
      <c r="Q39" s="113">
        <f t="shared" si="9"/>
        <v>0</v>
      </c>
    </row>
    <row r="40" spans="1:17" outlineLevel="2">
      <c r="A40" s="77" t="s">
        <v>240</v>
      </c>
      <c r="B40" s="135">
        <v>21</v>
      </c>
      <c r="C40" s="180" t="s">
        <v>231</v>
      </c>
      <c r="D40" s="43">
        <v>40312</v>
      </c>
      <c r="E40" s="43">
        <v>40319</v>
      </c>
      <c r="F40" s="43"/>
      <c r="G40" s="43"/>
      <c r="H40" s="154">
        <v>18</v>
      </c>
      <c r="I40" s="113">
        <f>+IF(AND(D40&lt;&gt;"",E40&lt;&gt;"",H40&lt;&gt;""),IF(D40&lt;Parâmetros!$B$6,IF(E40&gt;Parâmetros!$B$6,H40/2,H40),0),"")</f>
        <v>9</v>
      </c>
      <c r="J40" s="113"/>
      <c r="K40" s="113" t="str">
        <f>+IF(AND(F40&lt;&gt;"",H40&lt;&gt;""),IF(F40&lt;=Parâmetros!$B$6,IF(G40="",H40/2,IF(G40&gt;Parâmetros!$B$6,H40/2,H40)),0),"")</f>
        <v/>
      </c>
      <c r="L40" s="113" t="str">
        <f>IF(AND(A40&gt;0,K40&lt;&gt;"",I40&lt;&gt;""),+K40-I40,"")</f>
        <v/>
      </c>
      <c r="M40" s="113" t="str">
        <f>IF(AND(A40&gt;0,K40&lt;&gt;"",J40&lt;&gt;""),K40-J40,"")</f>
        <v/>
      </c>
      <c r="N40" s="160" t="str">
        <f>+IF(AND(A40&gt;0,I40&lt;&gt;0,I40&lt;&gt;"",K40&lt;&gt;""),K40/I40,"")</f>
        <v/>
      </c>
      <c r="O40" s="172" t="str">
        <f>+IF(AND(A40&gt;0,K40&lt;&gt;"",J40&lt;&gt;0,J40&lt;&gt;""),K40/J40,"")</f>
        <v/>
      </c>
      <c r="P40" s="113">
        <f t="shared" si="8"/>
        <v>18</v>
      </c>
      <c r="Q40" s="113">
        <f t="shared" si="9"/>
        <v>0</v>
      </c>
    </row>
    <row r="41" spans="1:17" outlineLevel="2">
      <c r="A41" s="77" t="s">
        <v>243</v>
      </c>
      <c r="B41" s="135">
        <v>22</v>
      </c>
      <c r="C41" s="180" t="s">
        <v>216</v>
      </c>
      <c r="D41" s="43">
        <v>40309</v>
      </c>
      <c r="E41" s="43">
        <v>40319</v>
      </c>
      <c r="F41" s="43"/>
      <c r="G41" s="43"/>
      <c r="H41" s="154">
        <v>27</v>
      </c>
      <c r="I41" s="113">
        <f>+IF(AND(D41&lt;&gt;"",E41&lt;&gt;"",H41&lt;&gt;""),IF(D41&lt;Parâmetros!$B$6,IF(E41&gt;Parâmetros!$B$6,H41/2,H41),0),"")</f>
        <v>13.5</v>
      </c>
      <c r="J41" s="113"/>
      <c r="K41" s="113" t="str">
        <f>+IF(AND(F41&lt;&gt;"",H41&lt;&gt;""),IF(F41&lt;=Parâmetros!$B$6,IF(G41="",H41/2,IF(G41&gt;Parâmetros!$B$6,H41/2,H41)),0),"")</f>
        <v/>
      </c>
      <c r="L41" s="113" t="str">
        <f>IF(AND(A41&gt;0,K41&lt;&gt;"",I41&lt;&gt;""),+K41-I41,"")</f>
        <v/>
      </c>
      <c r="M41" s="113" t="str">
        <f>IF(AND(A41&gt;0,K41&lt;&gt;"",J41&lt;&gt;""),K41-J41,"")</f>
        <v/>
      </c>
      <c r="N41" s="160" t="str">
        <f>+IF(AND(A41&gt;0,I41&lt;&gt;0,I41&lt;&gt;"",K41&lt;&gt;""),K41/I41,"")</f>
        <v/>
      </c>
      <c r="O41" s="172" t="str">
        <f>+IF(AND(A41&gt;0,K41&lt;&gt;"",J41&lt;&gt;0,J41&lt;&gt;""),K41/J41,"")</f>
        <v/>
      </c>
      <c r="P41" s="113">
        <f t="shared" si="8"/>
        <v>27</v>
      </c>
      <c r="Q41" s="113">
        <f t="shared" si="9"/>
        <v>0</v>
      </c>
    </row>
    <row r="42" spans="1:17" outlineLevel="2">
      <c r="A42" s="77" t="s">
        <v>244</v>
      </c>
      <c r="B42" s="135">
        <v>23</v>
      </c>
      <c r="C42" s="180" t="s">
        <v>231</v>
      </c>
      <c r="D42" s="43">
        <v>40308</v>
      </c>
      <c r="E42" s="43">
        <v>40312</v>
      </c>
      <c r="F42" s="43"/>
      <c r="G42" s="43"/>
      <c r="H42" s="154">
        <v>15</v>
      </c>
      <c r="I42" s="113">
        <f>+IF(AND(D42&lt;&gt;"",E42&lt;&gt;"",H42&lt;&gt;""),IF(D42&lt;Parâmetros!$B$6,IF(E42&gt;Parâmetros!$B$6,H42/2,H42),0),"")</f>
        <v>15</v>
      </c>
      <c r="J42" s="113"/>
      <c r="K42" s="113" t="str">
        <f>+IF(AND(F42&lt;&gt;"",H42&lt;&gt;""),IF(F42&lt;=Parâmetros!$B$6,IF(G42="",H42/2,IF(G42&gt;Parâmetros!$B$6,H42/2,H42)),0),"")</f>
        <v/>
      </c>
      <c r="L42" s="113" t="str">
        <f>IF(AND(A42&gt;0,K42&lt;&gt;"",I42&lt;&gt;""),+K42-I42,"")</f>
        <v/>
      </c>
      <c r="M42" s="113" t="str">
        <f>IF(AND(A42&gt;0,K42&lt;&gt;"",J42&lt;&gt;""),K42-J42,"")</f>
        <v/>
      </c>
      <c r="N42" s="160" t="str">
        <f>+IF(AND(A42&gt;0,I42&lt;&gt;0,I42&lt;&gt;"",K42&lt;&gt;""),K42/I42,"")</f>
        <v/>
      </c>
      <c r="O42" s="172" t="str">
        <f>+IF(AND(A42&gt;0,K42&lt;&gt;"",J42&lt;&gt;0,J42&lt;&gt;""),K42/J42,"")</f>
        <v/>
      </c>
      <c r="P42" s="113">
        <f t="shared" si="8"/>
        <v>15</v>
      </c>
      <c r="Q42" s="113">
        <f t="shared" si="9"/>
        <v>0</v>
      </c>
    </row>
    <row r="43" spans="1:17">
      <c r="A43" s="46" t="s">
        <v>150</v>
      </c>
      <c r="K43" s="68"/>
      <c r="M43" s="62"/>
      <c r="O43" s="89"/>
      <c r="P43" s="36"/>
    </row>
    <row r="44" spans="1:17">
      <c r="K44" s="68"/>
      <c r="M44" s="62"/>
      <c r="O44" s="89"/>
      <c r="P44" s="36"/>
    </row>
    <row r="45" spans="1:17">
      <c r="K45" s="68"/>
      <c r="M45" s="62"/>
      <c r="O45" s="89"/>
      <c r="P45" s="36"/>
    </row>
    <row r="46" spans="1:17">
      <c r="K46" s="68"/>
      <c r="M46" s="62"/>
      <c r="O46" s="89"/>
      <c r="P46" s="36"/>
    </row>
    <row r="47" spans="1:17">
      <c r="K47" s="68"/>
      <c r="M47" s="62"/>
      <c r="O47" s="89"/>
      <c r="P47" s="36"/>
    </row>
    <row r="48" spans="1:17">
      <c r="K48" s="68"/>
      <c r="M48" s="62"/>
      <c r="O48" s="89"/>
      <c r="P48" s="36"/>
    </row>
    <row r="49" spans="2:16">
      <c r="K49" s="68"/>
      <c r="M49" s="62"/>
      <c r="O49" s="89"/>
      <c r="P49" s="36"/>
    </row>
    <row r="50" spans="2:16">
      <c r="K50" s="68"/>
      <c r="M50" s="62"/>
      <c r="O50" s="89"/>
      <c r="P50" s="36"/>
    </row>
    <row r="51" spans="2:16">
      <c r="K51" s="68"/>
      <c r="M51" s="62"/>
      <c r="O51" s="89"/>
      <c r="P51" s="36"/>
    </row>
    <row r="52" spans="2:16">
      <c r="K52" s="68"/>
      <c r="M52" s="62"/>
      <c r="O52" s="89"/>
      <c r="P52" s="36"/>
    </row>
    <row r="53" spans="2:16">
      <c r="K53" s="68"/>
      <c r="M53" s="62"/>
      <c r="O53" s="89"/>
      <c r="P53" s="36"/>
    </row>
    <row r="54" spans="2:16">
      <c r="K54" s="68"/>
      <c r="M54" s="62"/>
      <c r="O54" s="89"/>
      <c r="P54" s="36"/>
    </row>
    <row r="55" spans="2:16">
      <c r="K55" s="68"/>
      <c r="M55" s="62"/>
      <c r="O55" s="89"/>
      <c r="P55" s="36"/>
    </row>
    <row r="56" spans="2:16">
      <c r="K56" s="68"/>
      <c r="M56" s="62"/>
      <c r="O56" s="89"/>
      <c r="P56" s="36"/>
    </row>
    <row r="57" spans="2:16">
      <c r="K57" s="68"/>
      <c r="M57" s="62"/>
      <c r="O57" s="89"/>
      <c r="P57" s="36"/>
    </row>
    <row r="58" spans="2:16">
      <c r="K58" s="68"/>
      <c r="M58" s="62"/>
      <c r="O58" s="89"/>
      <c r="P58" s="36"/>
    </row>
    <row r="59" spans="2:16">
      <c r="K59" s="68"/>
      <c r="M59" s="62"/>
      <c r="O59" s="89"/>
      <c r="P59" s="36"/>
    </row>
    <row r="60" spans="2:16">
      <c r="K60" s="68"/>
      <c r="M60" s="62"/>
      <c r="O60" s="89"/>
      <c r="P60" s="36"/>
    </row>
    <row r="61" spans="2:16">
      <c r="K61" s="68"/>
      <c r="M61" s="62"/>
      <c r="O61" s="89"/>
      <c r="P61" s="36"/>
    </row>
    <row r="63" spans="2:16">
      <c r="B63" s="41"/>
      <c r="C63" s="41"/>
    </row>
    <row r="64" spans="2:16">
      <c r="B64" s="41"/>
      <c r="C64" s="41"/>
    </row>
  </sheetData>
  <autoFilter ref="A6:O43">
    <filterColumn colId="2"/>
  </autoFilter>
  <dataConsolidate/>
  <mergeCells count="4">
    <mergeCell ref="D5:G5"/>
    <mergeCell ref="H5:J5"/>
    <mergeCell ref="K5:O5"/>
    <mergeCell ref="P5:Q5"/>
  </mergeCells>
  <phoneticPr fontId="0" type="noConversion"/>
  <dataValidations count="1">
    <dataValidation type="list" allowBlank="1" showInputMessage="1" showErrorMessage="1" sqref="C31:C35 C21:C29 C38:C42 C19 C12:C16">
      <formula1>Recursos</formula1>
    </dataValidation>
  </dataValidations>
  <printOptions horizontalCentered="1"/>
  <pageMargins left="0.47244094488188981" right="0.47244094488188981" top="0.59055118110236227" bottom="0.59055118110236227" header="0.51181102362204722" footer="0.51181102362204722"/>
  <pageSetup paperSize="9" scale="57" fitToHeight="10" orientation="landscape" r:id="rId1"/>
  <headerFooter alignWithMargins="0"/>
  <drawing r:id="rId2"/>
  <legacyDrawing r:id="rId3"/>
  <controls>
    <control shapeId="2392" r:id="rId4" name="CmdRelatorio"/>
  </control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6"/>
  <dimension ref="A1:I14"/>
  <sheetViews>
    <sheetView showGridLines="0" workbookViewId="0">
      <selection activeCell="D6" sqref="D6"/>
    </sheetView>
  </sheetViews>
  <sheetFormatPr defaultRowHeight="11.25"/>
  <cols>
    <col min="1" max="1" width="9.85546875" style="36" customWidth="1"/>
    <col min="2" max="2" width="9.140625" style="89"/>
    <col min="3" max="3" width="14.140625" style="89" customWidth="1"/>
    <col min="4" max="4" width="54.7109375" style="36" customWidth="1"/>
    <col min="5" max="5" width="12" style="36" customWidth="1"/>
    <col min="6" max="16384" width="9.140625" style="36"/>
  </cols>
  <sheetData>
    <row r="1" spans="1:9" ht="15">
      <c r="A1" s="80" t="s">
        <v>228</v>
      </c>
      <c r="D1" s="97"/>
      <c r="E1" s="97" t="s">
        <v>227</v>
      </c>
      <c r="G1" s="90"/>
      <c r="H1" s="90"/>
    </row>
    <row r="2" spans="1:9" ht="12.75" thickBot="1">
      <c r="A2" s="96" t="s">
        <v>195</v>
      </c>
      <c r="B2" s="114"/>
      <c r="C2" s="115"/>
      <c r="D2" s="95"/>
      <c r="E2" s="95" t="str">
        <f>CONCATENATE("Data Base: ",TEXT(Parâmetros!$B$6,"dd/mm/aaaa"))</f>
        <v>Data Base: 19/05/2010</v>
      </c>
      <c r="F2" s="41"/>
      <c r="G2" s="100"/>
      <c r="H2" s="100"/>
    </row>
    <row r="3" spans="1:9" ht="12" thickTop="1">
      <c r="G3" s="90"/>
      <c r="H3" s="90"/>
      <c r="I3" s="90"/>
    </row>
    <row r="4" spans="1:9" ht="22.5">
      <c r="A4" s="120" t="s">
        <v>191</v>
      </c>
      <c r="B4" s="120" t="s">
        <v>192</v>
      </c>
      <c r="C4" s="120" t="s">
        <v>193</v>
      </c>
      <c r="D4" s="121" t="s">
        <v>194</v>
      </c>
      <c r="E4" s="122" t="s">
        <v>199</v>
      </c>
    </row>
    <row r="5" spans="1:9" ht="10.5" customHeight="1">
      <c r="A5" s="142">
        <v>40291</v>
      </c>
      <c r="B5" s="116"/>
      <c r="C5" s="116" t="s">
        <v>216</v>
      </c>
      <c r="D5" s="117" t="s">
        <v>253</v>
      </c>
      <c r="E5" s="119">
        <v>272</v>
      </c>
    </row>
    <row r="6" spans="1:9" ht="10.5" customHeight="1">
      <c r="A6" s="142">
        <v>40317</v>
      </c>
      <c r="B6" s="116"/>
      <c r="C6" s="116" t="s">
        <v>216</v>
      </c>
      <c r="D6" s="117"/>
      <c r="E6" s="119">
        <v>272</v>
      </c>
    </row>
    <row r="7" spans="1:9" ht="10.5" customHeight="1">
      <c r="A7" s="142"/>
      <c r="B7" s="116"/>
      <c r="C7" s="116"/>
      <c r="D7" s="117"/>
      <c r="E7" s="119"/>
    </row>
    <row r="8" spans="1:9" ht="10.5" customHeight="1">
      <c r="A8" s="142"/>
      <c r="B8" s="116"/>
      <c r="C8" s="116"/>
      <c r="D8" s="117"/>
      <c r="E8" s="119"/>
    </row>
    <row r="9" spans="1:9" ht="10.5" customHeight="1">
      <c r="A9" s="142"/>
      <c r="B9" s="116"/>
      <c r="C9" s="116"/>
      <c r="D9" s="117"/>
      <c r="E9" s="119"/>
    </row>
    <row r="10" spans="1:9" ht="10.5" customHeight="1">
      <c r="A10" s="142"/>
      <c r="B10" s="116"/>
      <c r="C10" s="116"/>
      <c r="D10" s="117"/>
      <c r="E10" s="119"/>
    </row>
    <row r="11" spans="1:9" ht="10.5" customHeight="1">
      <c r="A11" s="142"/>
      <c r="B11" s="116"/>
      <c r="C11" s="116"/>
      <c r="D11" s="117"/>
      <c r="E11" s="119"/>
    </row>
    <row r="12" spans="1:9" ht="10.5" customHeight="1">
      <c r="A12" s="142"/>
      <c r="B12" s="116"/>
      <c r="C12" s="116"/>
      <c r="D12" s="117"/>
      <c r="E12" s="119"/>
    </row>
    <row r="13" spans="1:9" ht="10.5" customHeight="1">
      <c r="A13" s="142"/>
      <c r="B13" s="116"/>
      <c r="C13" s="116"/>
      <c r="D13" s="117"/>
      <c r="E13" s="119"/>
    </row>
    <row r="14" spans="1:9" ht="10.5" customHeight="1">
      <c r="A14" s="174"/>
      <c r="B14" s="175"/>
      <c r="C14" s="175"/>
      <c r="D14" s="176"/>
      <c r="E14" s="177"/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1:F56"/>
  <sheetViews>
    <sheetView showGridLines="0" workbookViewId="0">
      <selection activeCell="B7" sqref="B7"/>
    </sheetView>
  </sheetViews>
  <sheetFormatPr defaultRowHeight="12"/>
  <cols>
    <col min="1" max="1" width="29.7109375" style="49" customWidth="1"/>
    <col min="2" max="2" width="14.5703125" style="49" customWidth="1"/>
    <col min="3" max="3" width="9.140625" style="49"/>
    <col min="4" max="4" width="10.140625" style="49" bestFit="1" customWidth="1"/>
    <col min="5" max="5" width="9.140625" style="49"/>
    <col min="6" max="6" width="10.140625" style="49" bestFit="1" customWidth="1"/>
    <col min="7" max="16384" width="9.140625" style="49"/>
  </cols>
  <sheetData>
    <row r="1" spans="1:6" ht="15">
      <c r="A1" s="80" t="s">
        <v>228</v>
      </c>
      <c r="B1" s="57"/>
      <c r="C1" s="57"/>
      <c r="D1" s="57"/>
      <c r="E1" s="57"/>
      <c r="F1" s="57"/>
    </row>
    <row r="2" spans="1:6" ht="13.5" thickBot="1">
      <c r="A2" s="81" t="s">
        <v>178</v>
      </c>
      <c r="B2" s="58"/>
      <c r="C2" s="58"/>
      <c r="D2" s="58"/>
      <c r="E2" s="58"/>
      <c r="F2" s="58"/>
    </row>
    <row r="3" spans="1:6" ht="12.75" thickTop="1"/>
    <row r="4" spans="1:6">
      <c r="A4" s="49" t="s">
        <v>175</v>
      </c>
      <c r="B4" s="143" t="s">
        <v>227</v>
      </c>
    </row>
    <row r="5" spans="1:6">
      <c r="A5" s="49" t="s">
        <v>183</v>
      </c>
      <c r="B5" s="143">
        <v>3</v>
      </c>
    </row>
    <row r="6" spans="1:6">
      <c r="A6" s="49" t="s">
        <v>179</v>
      </c>
      <c r="B6" s="142">
        <v>40317</v>
      </c>
    </row>
    <row r="8" spans="1:6">
      <c r="D8" s="139"/>
      <c r="F8" s="139"/>
    </row>
    <row r="11" spans="1:6">
      <c r="A11" s="50" t="s">
        <v>203</v>
      </c>
    </row>
    <row r="12" spans="1:6">
      <c r="A12" s="144"/>
      <c r="B12" s="143" t="s">
        <v>216</v>
      </c>
      <c r="C12" s="141"/>
    </row>
    <row r="13" spans="1:6">
      <c r="A13" s="144"/>
      <c r="B13" s="143" t="s">
        <v>231</v>
      </c>
      <c r="C13" s="141"/>
    </row>
    <row r="14" spans="1:6">
      <c r="A14" s="144"/>
      <c r="B14" s="143" t="s">
        <v>232</v>
      </c>
      <c r="C14" s="141"/>
    </row>
    <row r="15" spans="1:6">
      <c r="B15" s="143" t="s">
        <v>251</v>
      </c>
      <c r="C15" s="141"/>
    </row>
    <row r="16" spans="1:6">
      <c r="B16" s="141"/>
      <c r="C16" s="141"/>
    </row>
    <row r="17" spans="1:3">
      <c r="A17" s="144"/>
      <c r="B17" s="145"/>
      <c r="C17" s="141"/>
    </row>
    <row r="18" spans="1:3">
      <c r="B18" s="145"/>
      <c r="C18" s="141"/>
    </row>
    <row r="19" spans="1:3">
      <c r="B19" s="145"/>
      <c r="C19" s="141"/>
    </row>
    <row r="20" spans="1:3">
      <c r="B20" s="145"/>
      <c r="C20" s="141"/>
    </row>
    <row r="21" spans="1:3">
      <c r="B21" s="145"/>
      <c r="C21" s="141"/>
    </row>
    <row r="22" spans="1:3">
      <c r="B22" s="145"/>
      <c r="C22" s="141"/>
    </row>
    <row r="23" spans="1:3">
      <c r="B23" s="145"/>
      <c r="C23" s="141"/>
    </row>
    <row r="24" spans="1:3">
      <c r="B24" s="145"/>
      <c r="C24" s="141"/>
    </row>
    <row r="25" spans="1:3">
      <c r="B25" s="145"/>
      <c r="C25" s="141"/>
    </row>
    <row r="26" spans="1:3">
      <c r="B26" s="141"/>
      <c r="C26" s="141"/>
    </row>
    <row r="27" spans="1:3">
      <c r="B27" s="141"/>
      <c r="C27" s="141"/>
    </row>
    <row r="28" spans="1:3">
      <c r="B28" s="141"/>
      <c r="C28" s="141"/>
    </row>
    <row r="29" spans="1:3">
      <c r="B29" s="145"/>
      <c r="C29" s="141"/>
    </row>
    <row r="30" spans="1:3">
      <c r="B30" s="141"/>
      <c r="C30" s="141"/>
    </row>
    <row r="31" spans="1:3">
      <c r="B31" s="141"/>
      <c r="C31" s="141"/>
    </row>
    <row r="32" spans="1:3">
      <c r="B32" s="141"/>
      <c r="C32" s="141"/>
    </row>
    <row r="33" spans="1:3">
      <c r="B33" s="140"/>
      <c r="C33" s="141"/>
    </row>
    <row r="34" spans="1:3">
      <c r="B34" s="141"/>
      <c r="C34" s="141"/>
    </row>
    <row r="35" spans="1:3">
      <c r="B35" s="141"/>
      <c r="C35" s="141"/>
    </row>
    <row r="36" spans="1:3">
      <c r="B36" s="141"/>
      <c r="C36" s="141"/>
    </row>
    <row r="37" spans="1:3">
      <c r="A37" s="144"/>
      <c r="B37" s="141"/>
      <c r="C37" s="141"/>
    </row>
    <row r="38" spans="1:3">
      <c r="B38" s="141"/>
      <c r="C38" s="141"/>
    </row>
    <row r="39" spans="1:3">
      <c r="B39" s="141"/>
      <c r="C39" s="141"/>
    </row>
    <row r="40" spans="1:3">
      <c r="B40" s="141"/>
      <c r="C40" s="141"/>
    </row>
    <row r="41" spans="1:3">
      <c r="B41" s="141"/>
      <c r="C41" s="141"/>
    </row>
    <row r="42" spans="1:3">
      <c r="B42" s="141"/>
      <c r="C42" s="141"/>
    </row>
    <row r="43" spans="1:3">
      <c r="B43" s="141"/>
      <c r="C43" s="141"/>
    </row>
    <row r="44" spans="1:3">
      <c r="B44" s="141"/>
      <c r="C44" s="141"/>
    </row>
    <row r="45" spans="1:3">
      <c r="B45" s="141"/>
      <c r="C45" s="141"/>
    </row>
    <row r="46" spans="1:3">
      <c r="B46" s="141"/>
      <c r="C46" s="141"/>
    </row>
    <row r="47" spans="1:3">
      <c r="B47" s="141"/>
      <c r="C47" s="141"/>
    </row>
    <row r="48" spans="1:3">
      <c r="B48" s="141"/>
      <c r="C48" s="141"/>
    </row>
    <row r="49" spans="1:3">
      <c r="B49" s="141"/>
      <c r="C49" s="141"/>
    </row>
    <row r="50" spans="1:3">
      <c r="B50" s="141"/>
      <c r="C50" s="141"/>
    </row>
    <row r="54" spans="1:3">
      <c r="A54" s="50" t="s">
        <v>233</v>
      </c>
    </row>
    <row r="55" spans="1:3">
      <c r="A55" s="49" t="s">
        <v>204</v>
      </c>
      <c r="B55" s="143">
        <v>0.8</v>
      </c>
    </row>
    <row r="56" spans="1:3">
      <c r="A56" s="49" t="s">
        <v>205</v>
      </c>
      <c r="B56" s="143">
        <v>0.7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3"/>
  <dimension ref="A1:H79"/>
  <sheetViews>
    <sheetView showGridLines="0" topLeftCell="A10" workbookViewId="0">
      <selection activeCell="A15" sqref="A15"/>
    </sheetView>
  </sheetViews>
  <sheetFormatPr defaultRowHeight="12.75"/>
  <cols>
    <col min="1" max="1" width="14.85546875" customWidth="1"/>
    <col min="2" max="2" width="49.5703125" customWidth="1"/>
    <col min="3" max="7" width="4.28515625" customWidth="1"/>
    <col min="8" max="8" width="10.85546875" customWidth="1"/>
    <col min="10" max="10" width="10" bestFit="1" customWidth="1"/>
  </cols>
  <sheetData>
    <row r="1" spans="1:8" ht="15">
      <c r="A1" s="28" t="s">
        <v>0</v>
      </c>
    </row>
    <row r="2" spans="1:8" ht="12" customHeight="1">
      <c r="A2" s="28"/>
    </row>
    <row r="3" spans="1:8">
      <c r="H3" s="38" t="s">
        <v>148</v>
      </c>
    </row>
    <row r="4" spans="1:8">
      <c r="A4" s="217" t="s">
        <v>1</v>
      </c>
      <c r="B4" s="219" t="s">
        <v>2</v>
      </c>
      <c r="C4" s="221" t="s">
        <v>3</v>
      </c>
      <c r="D4" s="222"/>
      <c r="E4" s="222"/>
      <c r="F4" s="222"/>
      <c r="G4" s="223"/>
      <c r="H4" s="217" t="s">
        <v>4</v>
      </c>
    </row>
    <row r="5" spans="1:8">
      <c r="A5" s="218"/>
      <c r="B5" s="220"/>
      <c r="C5" s="1" t="s">
        <v>5</v>
      </c>
      <c r="D5" s="2" t="s">
        <v>6</v>
      </c>
      <c r="E5" s="3" t="s">
        <v>7</v>
      </c>
      <c r="F5" s="4" t="s">
        <v>8</v>
      </c>
      <c r="G5" s="5" t="s">
        <v>9</v>
      </c>
      <c r="H5" s="218"/>
    </row>
    <row r="6" spans="1:8">
      <c r="A6" s="6">
        <v>1</v>
      </c>
      <c r="B6" s="7" t="s">
        <v>10</v>
      </c>
      <c r="C6" s="8"/>
      <c r="D6" s="8"/>
      <c r="E6" s="8"/>
      <c r="F6" s="8"/>
      <c r="G6" s="8"/>
      <c r="H6" s="8"/>
    </row>
    <row r="7" spans="1:8">
      <c r="A7" s="29" t="s">
        <v>11</v>
      </c>
      <c r="B7" s="30" t="s">
        <v>12</v>
      </c>
      <c r="C7" s="31"/>
      <c r="D7" s="31"/>
      <c r="E7" s="31"/>
      <c r="F7" s="31"/>
      <c r="G7" s="31"/>
      <c r="H7" s="31"/>
    </row>
    <row r="8" spans="1:8" ht="13.5" thickBot="1">
      <c r="A8" s="9" t="s">
        <v>13</v>
      </c>
      <c r="B8" s="10" t="s">
        <v>14</v>
      </c>
      <c r="C8" s="11"/>
      <c r="D8" s="11"/>
      <c r="E8" s="11"/>
      <c r="F8" s="11"/>
      <c r="G8" s="11"/>
      <c r="H8" s="11"/>
    </row>
    <row r="9" spans="1:8" ht="13.5" thickTop="1">
      <c r="A9" s="12" t="s">
        <v>15</v>
      </c>
      <c r="B9" s="13" t="s">
        <v>16</v>
      </c>
      <c r="C9" s="8"/>
      <c r="D9" s="8"/>
      <c r="E9" s="8"/>
      <c r="F9" s="8"/>
      <c r="G9" s="8"/>
      <c r="H9" s="8"/>
    </row>
    <row r="10" spans="1:8">
      <c r="A10" s="12" t="s">
        <v>17</v>
      </c>
      <c r="B10" s="13" t="s">
        <v>18</v>
      </c>
      <c r="C10" s="8"/>
      <c r="D10" s="8"/>
      <c r="E10" s="8"/>
      <c r="F10" s="8"/>
      <c r="G10" s="8"/>
      <c r="H10" s="8"/>
    </row>
    <row r="11" spans="1:8">
      <c r="A11" s="29" t="s">
        <v>19</v>
      </c>
      <c r="B11" s="30" t="s">
        <v>206</v>
      </c>
      <c r="C11" s="31"/>
      <c r="D11" s="31"/>
      <c r="E11" s="31"/>
      <c r="F11" s="31"/>
      <c r="G11" s="31"/>
      <c r="H11" s="31"/>
    </row>
    <row r="12" spans="1:8" ht="13.5" thickBot="1">
      <c r="A12" s="9" t="s">
        <v>20</v>
      </c>
      <c r="B12" s="10" t="s">
        <v>21</v>
      </c>
      <c r="C12" s="14" t="s">
        <v>22</v>
      </c>
      <c r="D12" s="15" t="s">
        <v>22</v>
      </c>
      <c r="E12" s="16" t="s">
        <v>22</v>
      </c>
      <c r="F12" s="17" t="s">
        <v>22</v>
      </c>
      <c r="G12" s="18" t="s">
        <v>22</v>
      </c>
      <c r="H12" s="11"/>
    </row>
    <row r="13" spans="1:8" ht="13.5" thickTop="1">
      <c r="A13" s="12" t="s">
        <v>23</v>
      </c>
      <c r="B13" s="13" t="s">
        <v>24</v>
      </c>
      <c r="C13" s="19" t="s">
        <v>22</v>
      </c>
      <c r="D13" s="20" t="s">
        <v>22</v>
      </c>
      <c r="E13" s="21" t="s">
        <v>22</v>
      </c>
      <c r="F13" s="22" t="s">
        <v>22</v>
      </c>
      <c r="G13" s="23" t="s">
        <v>22</v>
      </c>
      <c r="H13" s="24" t="s">
        <v>22</v>
      </c>
    </row>
    <row r="14" spans="1:8">
      <c r="A14" s="12" t="s">
        <v>25</v>
      </c>
      <c r="B14" s="13" t="s">
        <v>26</v>
      </c>
      <c r="C14" s="19" t="s">
        <v>22</v>
      </c>
      <c r="D14" s="20" t="s">
        <v>22</v>
      </c>
      <c r="E14" s="21" t="s">
        <v>22</v>
      </c>
      <c r="F14" s="22" t="s">
        <v>22</v>
      </c>
      <c r="G14" s="23" t="s">
        <v>22</v>
      </c>
      <c r="H14" s="24" t="s">
        <v>22</v>
      </c>
    </row>
    <row r="15" spans="1:8">
      <c r="A15" s="12" t="s">
        <v>27</v>
      </c>
      <c r="B15" s="13" t="s">
        <v>28</v>
      </c>
      <c r="C15" s="8"/>
      <c r="D15" s="20" t="s">
        <v>22</v>
      </c>
      <c r="E15" s="21" t="s">
        <v>22</v>
      </c>
      <c r="F15" s="22" t="s">
        <v>22</v>
      </c>
      <c r="G15" s="23" t="s">
        <v>22</v>
      </c>
      <c r="H15" s="24" t="s">
        <v>22</v>
      </c>
    </row>
    <row r="16" spans="1:8">
      <c r="A16" s="12" t="s">
        <v>29</v>
      </c>
      <c r="B16" s="13" t="s">
        <v>30</v>
      </c>
      <c r="C16" s="8"/>
      <c r="D16" s="20" t="s">
        <v>22</v>
      </c>
      <c r="E16" s="21" t="s">
        <v>22</v>
      </c>
      <c r="F16" s="22" t="s">
        <v>22</v>
      </c>
      <c r="G16" s="23" t="s">
        <v>22</v>
      </c>
      <c r="H16" s="24" t="s">
        <v>22</v>
      </c>
    </row>
    <row r="17" spans="1:8">
      <c r="A17" s="12" t="s">
        <v>31</v>
      </c>
      <c r="B17" s="13" t="s">
        <v>32</v>
      </c>
      <c r="C17" s="19" t="s">
        <v>22</v>
      </c>
      <c r="D17" s="20" t="s">
        <v>22</v>
      </c>
      <c r="E17" s="21" t="s">
        <v>22</v>
      </c>
      <c r="F17" s="22" t="s">
        <v>22</v>
      </c>
      <c r="G17" s="23" t="s">
        <v>22</v>
      </c>
      <c r="H17" s="24" t="s">
        <v>22</v>
      </c>
    </row>
    <row r="18" spans="1:8">
      <c r="A18" s="12" t="s">
        <v>33</v>
      </c>
      <c r="B18" s="13" t="s">
        <v>34</v>
      </c>
      <c r="C18" s="8"/>
      <c r="D18" s="20" t="s">
        <v>22</v>
      </c>
      <c r="E18" s="21" t="s">
        <v>22</v>
      </c>
      <c r="F18" s="22" t="s">
        <v>22</v>
      </c>
      <c r="G18" s="23" t="s">
        <v>22</v>
      </c>
      <c r="H18" s="24" t="s">
        <v>22</v>
      </c>
    </row>
    <row r="19" spans="1:8">
      <c r="A19" s="12" t="s">
        <v>35</v>
      </c>
      <c r="B19" s="13" t="s">
        <v>36</v>
      </c>
      <c r="C19" s="8"/>
      <c r="D19" s="8"/>
      <c r="E19" s="8"/>
      <c r="F19" s="8"/>
      <c r="G19" s="23" t="s">
        <v>22</v>
      </c>
      <c r="H19" s="8"/>
    </row>
    <row r="20" spans="1:8" ht="13.5" thickBot="1">
      <c r="A20" s="9" t="s">
        <v>38</v>
      </c>
      <c r="B20" s="10" t="s">
        <v>39</v>
      </c>
      <c r="C20" s="14" t="s">
        <v>22</v>
      </c>
      <c r="D20" s="11"/>
      <c r="E20" s="11"/>
      <c r="F20" s="11"/>
      <c r="G20" s="11"/>
      <c r="H20" s="11"/>
    </row>
    <row r="21" spans="1:8" ht="13.5" thickTop="1">
      <c r="A21" s="12" t="s">
        <v>40</v>
      </c>
      <c r="B21" s="13" t="s">
        <v>41</v>
      </c>
      <c r="C21" s="19" t="s">
        <v>22</v>
      </c>
      <c r="D21" s="8"/>
      <c r="E21" s="8"/>
      <c r="F21" s="8"/>
      <c r="G21" s="8"/>
      <c r="H21" s="24" t="s">
        <v>22</v>
      </c>
    </row>
    <row r="22" spans="1:8" ht="13.5" thickBot="1">
      <c r="A22" s="25" t="s">
        <v>42</v>
      </c>
      <c r="B22" s="26" t="s">
        <v>43</v>
      </c>
      <c r="C22" s="14" t="s">
        <v>22</v>
      </c>
      <c r="D22" s="11"/>
      <c r="E22" s="11"/>
      <c r="F22" s="11"/>
      <c r="G22" s="11"/>
      <c r="H22" s="27" t="s">
        <v>22</v>
      </c>
    </row>
    <row r="23" spans="1:8" ht="14.25" thickTop="1" thickBot="1">
      <c r="A23" s="9" t="s">
        <v>44</v>
      </c>
      <c r="B23" s="10" t="s">
        <v>45</v>
      </c>
      <c r="C23" s="11"/>
      <c r="D23" s="15" t="s">
        <v>22</v>
      </c>
      <c r="E23" s="11"/>
      <c r="F23" s="11"/>
      <c r="G23" s="11"/>
      <c r="H23" s="11"/>
    </row>
    <row r="24" spans="1:8" ht="13.5" thickTop="1">
      <c r="A24" s="12" t="s">
        <v>46</v>
      </c>
      <c r="B24" s="13" t="s">
        <v>47</v>
      </c>
      <c r="C24" s="8"/>
      <c r="D24" s="20" t="s">
        <v>22</v>
      </c>
      <c r="E24" s="8"/>
      <c r="F24" s="8"/>
      <c r="G24" s="8"/>
      <c r="H24" s="8"/>
    </row>
    <row r="25" spans="1:8">
      <c r="A25" s="12" t="s">
        <v>48</v>
      </c>
      <c r="B25" s="13" t="s">
        <v>49</v>
      </c>
      <c r="C25" s="8"/>
      <c r="D25" s="20" t="s">
        <v>22</v>
      </c>
      <c r="E25" s="8"/>
      <c r="F25" s="8"/>
      <c r="G25" s="8"/>
      <c r="H25" s="8"/>
    </row>
    <row r="26" spans="1:8" ht="13.5" thickBot="1">
      <c r="A26" s="25" t="s">
        <v>50</v>
      </c>
      <c r="B26" s="26" t="s">
        <v>51</v>
      </c>
      <c r="C26" s="11"/>
      <c r="D26" s="15" t="s">
        <v>22</v>
      </c>
      <c r="E26" s="11"/>
      <c r="F26" s="11"/>
      <c r="G26" s="11"/>
      <c r="H26" s="11"/>
    </row>
    <row r="27" spans="1:8" ht="14.25" thickTop="1" thickBot="1">
      <c r="A27" s="9" t="s">
        <v>52</v>
      </c>
      <c r="B27" s="10" t="s">
        <v>53</v>
      </c>
      <c r="C27" s="11"/>
      <c r="D27" s="15" t="s">
        <v>22</v>
      </c>
      <c r="E27" s="16" t="s">
        <v>22</v>
      </c>
      <c r="F27" s="17" t="s">
        <v>22</v>
      </c>
      <c r="G27" s="11"/>
      <c r="H27" s="11"/>
    </row>
    <row r="28" spans="1:8" ht="13.5" thickTop="1">
      <c r="A28" s="12" t="s">
        <v>54</v>
      </c>
      <c r="B28" s="13" t="s">
        <v>55</v>
      </c>
      <c r="C28" s="8"/>
      <c r="D28" s="20" t="s">
        <v>22</v>
      </c>
      <c r="E28" s="8"/>
      <c r="F28" s="8"/>
      <c r="G28" s="8"/>
      <c r="H28" s="8"/>
    </row>
    <row r="29" spans="1:8">
      <c r="A29" s="12" t="s">
        <v>56</v>
      </c>
      <c r="B29" s="13" t="s">
        <v>57</v>
      </c>
      <c r="C29" s="8"/>
      <c r="D29" s="20" t="s">
        <v>22</v>
      </c>
      <c r="E29" s="8"/>
      <c r="F29" s="8"/>
      <c r="G29" s="8"/>
      <c r="H29" s="24" t="s">
        <v>22</v>
      </c>
    </row>
    <row r="30" spans="1:8">
      <c r="A30" s="12" t="s">
        <v>58</v>
      </c>
      <c r="B30" s="13" t="s">
        <v>59</v>
      </c>
      <c r="C30" s="8"/>
      <c r="D30" s="20" t="s">
        <v>22</v>
      </c>
      <c r="E30" s="8"/>
      <c r="F30" s="8"/>
      <c r="G30" s="8"/>
      <c r="H30" s="24" t="s">
        <v>22</v>
      </c>
    </row>
    <row r="31" spans="1:8">
      <c r="A31" s="12" t="s">
        <v>60</v>
      </c>
      <c r="B31" s="13" t="s">
        <v>61</v>
      </c>
      <c r="C31" s="8"/>
      <c r="D31" s="8"/>
      <c r="E31" s="21" t="s">
        <v>22</v>
      </c>
      <c r="F31" s="22" t="s">
        <v>22</v>
      </c>
      <c r="G31" s="8"/>
      <c r="H31" s="24" t="s">
        <v>22</v>
      </c>
    </row>
    <row r="32" spans="1:8">
      <c r="A32" s="12" t="s">
        <v>62</v>
      </c>
      <c r="B32" s="13" t="s">
        <v>63</v>
      </c>
      <c r="C32" s="8"/>
      <c r="D32" s="20" t="s">
        <v>22</v>
      </c>
      <c r="E32" s="21" t="s">
        <v>22</v>
      </c>
      <c r="F32" s="22" t="s">
        <v>22</v>
      </c>
      <c r="G32" s="8"/>
      <c r="H32" s="24" t="s">
        <v>22</v>
      </c>
    </row>
    <row r="33" spans="1:8">
      <c r="A33" s="12" t="s">
        <v>64</v>
      </c>
      <c r="B33" s="13" t="s">
        <v>65</v>
      </c>
      <c r="C33" s="8"/>
      <c r="D33" s="20" t="s">
        <v>22</v>
      </c>
      <c r="E33" s="21" t="s">
        <v>22</v>
      </c>
      <c r="F33" s="22" t="s">
        <v>22</v>
      </c>
      <c r="G33" s="23" t="s">
        <v>22</v>
      </c>
      <c r="H33" s="8"/>
    </row>
    <row r="34" spans="1:8" ht="13.5" thickBot="1">
      <c r="A34" s="25" t="s">
        <v>66</v>
      </c>
      <c r="B34" s="26" t="s">
        <v>67</v>
      </c>
      <c r="C34" s="11"/>
      <c r="D34" s="15" t="s">
        <v>22</v>
      </c>
      <c r="E34" s="16" t="s">
        <v>22</v>
      </c>
      <c r="F34" s="17" t="s">
        <v>22</v>
      </c>
      <c r="G34" s="18" t="s">
        <v>22</v>
      </c>
      <c r="H34" s="11"/>
    </row>
    <row r="35" spans="1:8" ht="14.25" thickTop="1" thickBot="1">
      <c r="A35" s="9" t="s">
        <v>68</v>
      </c>
      <c r="B35" s="10" t="s">
        <v>69</v>
      </c>
      <c r="C35" s="11"/>
      <c r="D35" s="15" t="s">
        <v>22</v>
      </c>
      <c r="E35" s="16" t="s">
        <v>22</v>
      </c>
      <c r="F35" s="17" t="s">
        <v>22</v>
      </c>
      <c r="G35" s="11"/>
      <c r="H35" s="11"/>
    </row>
    <row r="36" spans="1:8" ht="13.5" thickTop="1">
      <c r="A36" s="12" t="s">
        <v>70</v>
      </c>
      <c r="B36" s="13" t="s">
        <v>71</v>
      </c>
      <c r="C36" s="8"/>
      <c r="D36" s="8"/>
      <c r="E36" s="21" t="s">
        <v>22</v>
      </c>
      <c r="F36" s="22" t="s">
        <v>22</v>
      </c>
      <c r="G36" s="8"/>
      <c r="H36" s="24" t="s">
        <v>22</v>
      </c>
    </row>
    <row r="37" spans="1:8">
      <c r="A37" s="12" t="s">
        <v>72</v>
      </c>
      <c r="B37" s="13" t="s">
        <v>73</v>
      </c>
      <c r="C37" s="8"/>
      <c r="D37" s="20" t="s">
        <v>22</v>
      </c>
      <c r="E37" s="21" t="s">
        <v>22</v>
      </c>
      <c r="F37" s="8"/>
      <c r="G37" s="8"/>
      <c r="H37" s="24" t="s">
        <v>22</v>
      </c>
    </row>
    <row r="38" spans="1:8">
      <c r="A38" s="12" t="s">
        <v>74</v>
      </c>
      <c r="B38" s="13" t="s">
        <v>75</v>
      </c>
      <c r="C38" s="8"/>
      <c r="D38" s="8"/>
      <c r="E38" s="21" t="s">
        <v>22</v>
      </c>
      <c r="F38" s="22" t="s">
        <v>22</v>
      </c>
      <c r="G38" s="8"/>
      <c r="H38" s="24" t="s">
        <v>22</v>
      </c>
    </row>
    <row r="39" spans="1:8" ht="13.5" thickBot="1">
      <c r="A39" s="25" t="s">
        <v>76</v>
      </c>
      <c r="B39" s="26" t="s">
        <v>77</v>
      </c>
      <c r="C39" s="11"/>
      <c r="D39" s="11"/>
      <c r="E39" s="16" t="s">
        <v>22</v>
      </c>
      <c r="F39" s="17" t="s">
        <v>22</v>
      </c>
      <c r="G39" s="11"/>
      <c r="H39" s="27" t="s">
        <v>22</v>
      </c>
    </row>
    <row r="40" spans="1:8" ht="14.25" thickTop="1" thickBot="1">
      <c r="A40" s="9" t="s">
        <v>78</v>
      </c>
      <c r="B40" s="10" t="s">
        <v>79</v>
      </c>
      <c r="C40" s="11"/>
      <c r="D40" s="15" t="s">
        <v>22</v>
      </c>
      <c r="E40" s="16" t="s">
        <v>22</v>
      </c>
      <c r="F40" s="17" t="s">
        <v>22</v>
      </c>
      <c r="G40" s="11"/>
      <c r="H40" s="11"/>
    </row>
    <row r="41" spans="1:8" ht="14.25" thickTop="1" thickBot="1">
      <c r="A41" s="25" t="s">
        <v>80</v>
      </c>
      <c r="B41" s="26" t="s">
        <v>81</v>
      </c>
      <c r="C41" s="11"/>
      <c r="D41" s="11"/>
      <c r="E41" s="16" t="s">
        <v>22</v>
      </c>
      <c r="F41" s="17" t="s">
        <v>22</v>
      </c>
      <c r="G41" s="11"/>
      <c r="H41" s="27" t="s">
        <v>22</v>
      </c>
    </row>
    <row r="42" spans="1:8" ht="14.25" thickTop="1" thickBot="1">
      <c r="A42" s="9" t="s">
        <v>82</v>
      </c>
      <c r="B42" s="10" t="s">
        <v>83</v>
      </c>
      <c r="C42" s="11"/>
      <c r="D42" s="15" t="s">
        <v>22</v>
      </c>
      <c r="E42" s="16" t="s">
        <v>22</v>
      </c>
      <c r="F42" s="17" t="s">
        <v>22</v>
      </c>
      <c r="G42" s="18" t="s">
        <v>22</v>
      </c>
      <c r="H42" s="11"/>
    </row>
    <row r="43" spans="1:8" ht="13.5" thickTop="1">
      <c r="A43" s="12" t="s">
        <v>84</v>
      </c>
      <c r="B43" s="13" t="s">
        <v>85</v>
      </c>
      <c r="C43" s="8"/>
      <c r="D43" s="20" t="s">
        <v>22</v>
      </c>
      <c r="E43" s="8"/>
      <c r="F43" s="8"/>
      <c r="G43" s="8"/>
      <c r="H43" s="24" t="s">
        <v>22</v>
      </c>
    </row>
    <row r="44" spans="1:8">
      <c r="A44" s="12" t="s">
        <v>86</v>
      </c>
      <c r="B44" s="13" t="s">
        <v>87</v>
      </c>
      <c r="C44" s="8"/>
      <c r="D44" s="8"/>
      <c r="E44" s="21" t="s">
        <v>22</v>
      </c>
      <c r="F44" s="22" t="s">
        <v>22</v>
      </c>
      <c r="G44" s="8"/>
      <c r="H44" s="24" t="s">
        <v>22</v>
      </c>
    </row>
    <row r="45" spans="1:8">
      <c r="A45" s="12" t="s">
        <v>88</v>
      </c>
      <c r="B45" s="13" t="s">
        <v>89</v>
      </c>
      <c r="C45" s="8"/>
      <c r="D45" s="8"/>
      <c r="E45" s="21" t="s">
        <v>22</v>
      </c>
      <c r="F45" s="22" t="s">
        <v>22</v>
      </c>
      <c r="G45" s="8"/>
      <c r="H45" s="8"/>
    </row>
    <row r="46" spans="1:8" ht="13.5" thickBot="1">
      <c r="A46" s="25" t="s">
        <v>90</v>
      </c>
      <c r="B46" s="26" t="s">
        <v>91</v>
      </c>
      <c r="C46" s="11"/>
      <c r="D46" s="11"/>
      <c r="E46" s="16" t="s">
        <v>22</v>
      </c>
      <c r="F46" s="17" t="s">
        <v>22</v>
      </c>
      <c r="G46" s="18" t="s">
        <v>22</v>
      </c>
      <c r="H46" s="27" t="s">
        <v>22</v>
      </c>
    </row>
    <row r="47" spans="1:8" ht="14.25" thickTop="1" thickBot="1">
      <c r="A47" s="9" t="s">
        <v>92</v>
      </c>
      <c r="B47" s="10" t="s">
        <v>93</v>
      </c>
      <c r="C47" s="11"/>
      <c r="D47" s="11"/>
      <c r="E47" s="16" t="s">
        <v>22</v>
      </c>
      <c r="F47" s="17" t="s">
        <v>22</v>
      </c>
      <c r="G47" s="18" t="s">
        <v>22</v>
      </c>
      <c r="H47" s="11"/>
    </row>
    <row r="48" spans="1:8" ht="13.5" thickTop="1">
      <c r="A48" s="12" t="s">
        <v>94</v>
      </c>
      <c r="B48" s="13" t="s">
        <v>95</v>
      </c>
      <c r="C48" s="8"/>
      <c r="D48" s="8"/>
      <c r="E48" s="21" t="s">
        <v>22</v>
      </c>
      <c r="F48" s="22" t="s">
        <v>22</v>
      </c>
      <c r="G48" s="8"/>
      <c r="H48" s="24" t="s">
        <v>22</v>
      </c>
    </row>
    <row r="49" spans="1:8">
      <c r="A49" s="12" t="s">
        <v>96</v>
      </c>
      <c r="B49" s="13" t="s">
        <v>97</v>
      </c>
      <c r="C49" s="8"/>
      <c r="D49" s="8"/>
      <c r="E49" s="21" t="s">
        <v>22</v>
      </c>
      <c r="F49" s="8"/>
      <c r="G49" s="8"/>
      <c r="H49" s="24" t="s">
        <v>22</v>
      </c>
    </row>
    <row r="50" spans="1:8">
      <c r="A50" s="12" t="s">
        <v>98</v>
      </c>
      <c r="B50" s="13" t="s">
        <v>99</v>
      </c>
      <c r="C50" s="8"/>
      <c r="D50" s="8"/>
      <c r="E50" s="21" t="s">
        <v>22</v>
      </c>
      <c r="F50" s="22" t="s">
        <v>22</v>
      </c>
      <c r="G50" s="8"/>
      <c r="H50" s="24" t="s">
        <v>22</v>
      </c>
    </row>
    <row r="51" spans="1:8">
      <c r="A51" s="12" t="s">
        <v>100</v>
      </c>
      <c r="B51" s="13" t="s">
        <v>101</v>
      </c>
      <c r="C51" s="8"/>
      <c r="D51" s="8"/>
      <c r="E51" s="8"/>
      <c r="F51" s="8"/>
      <c r="G51" s="8"/>
      <c r="H51" s="24" t="s">
        <v>22</v>
      </c>
    </row>
    <row r="52" spans="1:8">
      <c r="A52" s="12" t="s">
        <v>102</v>
      </c>
      <c r="B52" s="13" t="s">
        <v>103</v>
      </c>
      <c r="C52" s="8"/>
      <c r="D52" s="8"/>
      <c r="E52" s="8"/>
      <c r="F52" s="22" t="s">
        <v>22</v>
      </c>
      <c r="G52" s="8"/>
      <c r="H52" s="24" t="s">
        <v>22</v>
      </c>
    </row>
    <row r="53" spans="1:8">
      <c r="A53" s="12" t="s">
        <v>104</v>
      </c>
      <c r="B53" s="13" t="s">
        <v>105</v>
      </c>
      <c r="C53" s="8"/>
      <c r="D53" s="8"/>
      <c r="E53" s="8"/>
      <c r="F53" s="8"/>
      <c r="G53" s="23" t="s">
        <v>22</v>
      </c>
      <c r="H53" s="24" t="s">
        <v>22</v>
      </c>
    </row>
    <row r="54" spans="1:8">
      <c r="A54" s="12" t="s">
        <v>106</v>
      </c>
      <c r="B54" s="13" t="s">
        <v>107</v>
      </c>
      <c r="C54" s="8"/>
      <c r="D54" s="8"/>
      <c r="E54" s="8"/>
      <c r="F54" s="8"/>
      <c r="G54" s="23" t="s">
        <v>22</v>
      </c>
      <c r="H54" s="24" t="s">
        <v>22</v>
      </c>
    </row>
    <row r="55" spans="1:8">
      <c r="A55" s="12" t="s">
        <v>108</v>
      </c>
      <c r="B55" s="13" t="s">
        <v>109</v>
      </c>
      <c r="C55" s="8"/>
      <c r="D55" s="8"/>
      <c r="E55" s="8"/>
      <c r="F55" s="8"/>
      <c r="G55" s="23" t="s">
        <v>22</v>
      </c>
      <c r="H55" s="24" t="s">
        <v>22</v>
      </c>
    </row>
    <row r="56" spans="1:8">
      <c r="A56" s="12" t="s">
        <v>110</v>
      </c>
      <c r="B56" s="13" t="s">
        <v>111</v>
      </c>
      <c r="C56" s="8"/>
      <c r="D56" s="8"/>
      <c r="E56" s="8"/>
      <c r="F56" s="8"/>
      <c r="G56" s="23" t="s">
        <v>22</v>
      </c>
      <c r="H56" s="24" t="s">
        <v>22</v>
      </c>
    </row>
    <row r="57" spans="1:8">
      <c r="A57" s="12" t="s">
        <v>112</v>
      </c>
      <c r="B57" s="13" t="s">
        <v>113</v>
      </c>
      <c r="C57" s="8"/>
      <c r="D57" s="8"/>
      <c r="E57" s="8"/>
      <c r="F57" s="8"/>
      <c r="G57" s="23" t="s">
        <v>22</v>
      </c>
      <c r="H57" s="24" t="s">
        <v>22</v>
      </c>
    </row>
    <row r="58" spans="1:8" ht="13.5" thickBot="1">
      <c r="A58" s="25" t="s">
        <v>114</v>
      </c>
      <c r="B58" s="26" t="s">
        <v>115</v>
      </c>
      <c r="C58" s="11"/>
      <c r="D58" s="11"/>
      <c r="E58" s="16" t="s">
        <v>22</v>
      </c>
      <c r="F58" s="17" t="s">
        <v>22</v>
      </c>
      <c r="G58" s="18" t="s">
        <v>22</v>
      </c>
      <c r="H58" s="27" t="s">
        <v>22</v>
      </c>
    </row>
    <row r="59" spans="1:8" ht="14.25" thickTop="1" thickBot="1">
      <c r="A59" s="9" t="s">
        <v>116</v>
      </c>
      <c r="B59" s="10" t="s">
        <v>117</v>
      </c>
      <c r="C59" s="11"/>
      <c r="D59" s="15" t="s">
        <v>22</v>
      </c>
      <c r="E59" s="16" t="s">
        <v>22</v>
      </c>
      <c r="F59" s="17" t="s">
        <v>22</v>
      </c>
      <c r="G59" s="18" t="s">
        <v>22</v>
      </c>
      <c r="H59" s="11"/>
    </row>
    <row r="60" spans="1:8" ht="13.5" thickTop="1">
      <c r="A60" s="12" t="s">
        <v>118</v>
      </c>
      <c r="B60" s="13" t="s">
        <v>119</v>
      </c>
      <c r="C60" s="8"/>
      <c r="D60" s="20" t="s">
        <v>22</v>
      </c>
      <c r="E60" s="8"/>
      <c r="F60" s="8"/>
      <c r="G60" s="8"/>
      <c r="H60" s="24" t="s">
        <v>22</v>
      </c>
    </row>
    <row r="61" spans="1:8">
      <c r="A61" s="12" t="s">
        <v>120</v>
      </c>
      <c r="B61" s="13" t="s">
        <v>121</v>
      </c>
      <c r="C61" s="8"/>
      <c r="D61" s="20" t="s">
        <v>22</v>
      </c>
      <c r="E61" s="8"/>
      <c r="F61" s="8"/>
      <c r="G61" s="8"/>
      <c r="H61" s="8"/>
    </row>
    <row r="62" spans="1:8" ht="13.5" thickBot="1">
      <c r="A62" s="25" t="s">
        <v>122</v>
      </c>
      <c r="B62" s="26" t="s">
        <v>123</v>
      </c>
      <c r="C62" s="11"/>
      <c r="D62" s="15" t="s">
        <v>22</v>
      </c>
      <c r="E62" s="16" t="s">
        <v>22</v>
      </c>
      <c r="F62" s="17" t="s">
        <v>22</v>
      </c>
      <c r="G62" s="18" t="s">
        <v>22</v>
      </c>
      <c r="H62" s="27" t="s">
        <v>22</v>
      </c>
    </row>
    <row r="63" spans="1:8" ht="14.25" thickTop="1" thickBot="1">
      <c r="A63" s="9" t="s">
        <v>124</v>
      </c>
      <c r="B63" s="10" t="s">
        <v>125</v>
      </c>
      <c r="C63" s="11"/>
      <c r="D63" s="15" t="s">
        <v>22</v>
      </c>
      <c r="E63" s="16" t="s">
        <v>22</v>
      </c>
      <c r="F63" s="17" t="s">
        <v>22</v>
      </c>
      <c r="G63" s="18" t="s">
        <v>22</v>
      </c>
      <c r="H63" s="11"/>
    </row>
    <row r="64" spans="1:8" ht="14.25" thickTop="1" thickBot="1">
      <c r="A64" s="25" t="s">
        <v>126</v>
      </c>
      <c r="B64" s="26" t="s">
        <v>127</v>
      </c>
      <c r="C64" s="11"/>
      <c r="D64" s="15" t="s">
        <v>22</v>
      </c>
      <c r="E64" s="16" t="s">
        <v>22</v>
      </c>
      <c r="F64" s="17" t="s">
        <v>22</v>
      </c>
      <c r="G64" s="18" t="s">
        <v>22</v>
      </c>
      <c r="H64" s="11"/>
    </row>
    <row r="65" spans="1:8" ht="14.25" thickTop="1" thickBot="1">
      <c r="A65" s="9" t="s">
        <v>128</v>
      </c>
      <c r="B65" s="10" t="s">
        <v>129</v>
      </c>
      <c r="C65" s="11"/>
      <c r="D65" s="15" t="s">
        <v>22</v>
      </c>
      <c r="E65" s="16" t="s">
        <v>22</v>
      </c>
      <c r="F65" s="17" t="s">
        <v>22</v>
      </c>
      <c r="G65" s="18" t="s">
        <v>22</v>
      </c>
      <c r="H65" s="11"/>
    </row>
    <row r="66" spans="1:8" ht="13.5" thickTop="1">
      <c r="A66" s="12" t="s">
        <v>130</v>
      </c>
      <c r="B66" s="13" t="s">
        <v>131</v>
      </c>
      <c r="C66" s="8"/>
      <c r="D66" s="20" t="s">
        <v>22</v>
      </c>
      <c r="E66" s="8"/>
      <c r="F66" s="8"/>
      <c r="G66" s="8"/>
      <c r="H66" s="24" t="s">
        <v>22</v>
      </c>
    </row>
    <row r="67" spans="1:8">
      <c r="A67" s="12" t="s">
        <v>132</v>
      </c>
      <c r="B67" s="13" t="s">
        <v>133</v>
      </c>
      <c r="C67" s="8"/>
      <c r="D67" s="20" t="s">
        <v>22</v>
      </c>
      <c r="E67" s="21" t="s">
        <v>22</v>
      </c>
      <c r="F67" s="22" t="s">
        <v>22</v>
      </c>
      <c r="G67" s="23" t="s">
        <v>22</v>
      </c>
      <c r="H67" s="24" t="s">
        <v>22</v>
      </c>
    </row>
    <row r="68" spans="1:8">
      <c r="A68" s="32" t="s">
        <v>134</v>
      </c>
      <c r="B68" s="33" t="s">
        <v>141</v>
      </c>
      <c r="C68" s="34"/>
      <c r="D68" s="34"/>
      <c r="E68" s="34"/>
      <c r="F68" s="34"/>
      <c r="G68" s="34"/>
      <c r="H68" s="34"/>
    </row>
    <row r="69" spans="1:8" ht="13.5" thickBot="1">
      <c r="A69" s="9" t="s">
        <v>135</v>
      </c>
      <c r="B69" s="10" t="s">
        <v>142</v>
      </c>
      <c r="C69" s="11"/>
      <c r="D69" s="11"/>
      <c r="E69" s="11"/>
      <c r="F69" s="11"/>
      <c r="G69" s="11"/>
      <c r="H69" s="11"/>
    </row>
    <row r="70" spans="1:8" ht="14.25" thickTop="1" thickBot="1">
      <c r="A70" s="25" t="s">
        <v>136</v>
      </c>
      <c r="B70" s="26" t="s">
        <v>143</v>
      </c>
      <c r="C70" s="11"/>
      <c r="D70" s="11"/>
      <c r="E70" s="11"/>
      <c r="F70" s="11"/>
      <c r="G70" s="11"/>
      <c r="H70" s="11"/>
    </row>
    <row r="71" spans="1:8" ht="14.25" thickTop="1" thickBot="1">
      <c r="A71" s="9" t="s">
        <v>137</v>
      </c>
      <c r="B71" s="10" t="s">
        <v>144</v>
      </c>
      <c r="C71" s="11"/>
      <c r="D71" s="11"/>
      <c r="E71" s="11"/>
      <c r="F71" s="11"/>
      <c r="G71" s="11"/>
      <c r="H71" s="11"/>
    </row>
    <row r="72" spans="1:8" ht="13.5" thickTop="1">
      <c r="A72" s="12" t="s">
        <v>138</v>
      </c>
      <c r="B72" s="13" t="s">
        <v>145</v>
      </c>
      <c r="C72" s="8"/>
      <c r="D72" s="8"/>
      <c r="E72" s="8"/>
      <c r="F72" s="8"/>
      <c r="G72" s="8"/>
      <c r="H72" s="8"/>
    </row>
    <row r="73" spans="1:8">
      <c r="A73" s="12" t="s">
        <v>139</v>
      </c>
      <c r="B73" s="13" t="s">
        <v>146</v>
      </c>
      <c r="C73" s="8"/>
      <c r="D73" s="8"/>
      <c r="E73" s="8"/>
      <c r="F73" s="8"/>
      <c r="G73" s="8"/>
      <c r="H73" s="8"/>
    </row>
    <row r="74" spans="1:8" ht="13.5" thickBot="1">
      <c r="A74" s="25" t="s">
        <v>140</v>
      </c>
      <c r="B74" s="26" t="s">
        <v>147</v>
      </c>
      <c r="C74" s="11"/>
      <c r="D74" s="11"/>
      <c r="E74" s="11"/>
      <c r="F74" s="11"/>
      <c r="G74" s="11"/>
      <c r="H74" s="11"/>
    </row>
    <row r="75" spans="1:8" ht="14.25" thickTop="1" thickBot="1">
      <c r="A75" s="9" t="s">
        <v>219</v>
      </c>
      <c r="B75" s="10" t="s">
        <v>221</v>
      </c>
      <c r="C75" s="11"/>
      <c r="D75" s="11"/>
      <c r="E75" s="11"/>
      <c r="F75" s="11"/>
      <c r="G75" s="11"/>
      <c r="H75" s="11"/>
    </row>
    <row r="76" spans="1:8" ht="13.5" thickTop="1">
      <c r="A76" s="12" t="s">
        <v>220</v>
      </c>
      <c r="B76" s="13" t="s">
        <v>221</v>
      </c>
      <c r="C76" s="8"/>
      <c r="D76" s="8"/>
      <c r="E76" s="8"/>
      <c r="F76" s="8"/>
      <c r="G76" s="8"/>
      <c r="H76" s="8"/>
    </row>
    <row r="77" spans="1:8" ht="13.5" thickBot="1">
      <c r="A77" s="9" t="s">
        <v>224</v>
      </c>
      <c r="B77" s="10" t="s">
        <v>226</v>
      </c>
      <c r="C77" s="11"/>
      <c r="D77" s="11"/>
      <c r="E77" s="11"/>
      <c r="F77" s="11"/>
      <c r="G77" s="11"/>
      <c r="H77" s="11"/>
    </row>
    <row r="78" spans="1:8" ht="14.25" thickTop="1" thickBot="1">
      <c r="A78" s="25" t="s">
        <v>225</v>
      </c>
      <c r="B78" s="26" t="s">
        <v>37</v>
      </c>
      <c r="C78" s="11"/>
      <c r="D78" s="11"/>
      <c r="E78" s="11"/>
      <c r="F78" s="11"/>
      <c r="G78" s="11"/>
      <c r="H78" s="11"/>
    </row>
    <row r="79" spans="1:8" ht="13.5" thickTop="1"/>
  </sheetData>
  <mergeCells count="4">
    <mergeCell ref="A4:A5"/>
    <mergeCell ref="B4:B5"/>
    <mergeCell ref="C4:G4"/>
    <mergeCell ref="H4:H5"/>
  </mergeCells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2">
    <pageSetUpPr fitToPage="1"/>
  </sheetPr>
  <dimension ref="A1:K17"/>
  <sheetViews>
    <sheetView showGridLines="0" workbookViewId="0">
      <selection activeCell="D1" sqref="D1"/>
    </sheetView>
  </sheetViews>
  <sheetFormatPr defaultRowHeight="12.75"/>
  <sheetData>
    <row r="1" spans="1:11" ht="15.75">
      <c r="A1" s="48" t="s">
        <v>63</v>
      </c>
      <c r="C1" s="49"/>
      <c r="D1" s="49"/>
      <c r="E1" s="49"/>
      <c r="F1" s="49"/>
      <c r="G1" s="49"/>
      <c r="H1" s="49"/>
    </row>
    <row r="2" spans="1:11">
      <c r="A2" s="50"/>
      <c r="C2" s="49"/>
      <c r="D2" s="49"/>
      <c r="E2" s="49"/>
      <c r="F2" s="49"/>
      <c r="G2" s="49"/>
      <c r="H2" s="49"/>
    </row>
    <row r="3" spans="1:11" ht="48.75" customHeight="1">
      <c r="A3" s="224" t="s">
        <v>163</v>
      </c>
      <c r="B3" s="225"/>
      <c r="C3" s="225"/>
      <c r="D3" s="225"/>
      <c r="E3" s="225"/>
      <c r="F3" s="225"/>
      <c r="G3" s="225"/>
      <c r="H3" s="225"/>
      <c r="I3" s="225"/>
      <c r="J3" s="225"/>
      <c r="K3" s="225"/>
    </row>
    <row r="4" spans="1:11">
      <c r="A4" s="51"/>
      <c r="B4" s="52"/>
      <c r="C4" s="52"/>
      <c r="D4" s="52"/>
      <c r="E4" s="52"/>
      <c r="F4" s="52"/>
      <c r="G4" s="52"/>
      <c r="H4" s="52"/>
    </row>
    <row r="5" spans="1:11" ht="26.25" customHeight="1">
      <c r="A5" s="224" t="s">
        <v>161</v>
      </c>
      <c r="B5" s="225"/>
      <c r="C5" s="225"/>
      <c r="D5" s="225"/>
      <c r="E5" s="225"/>
      <c r="F5" s="225"/>
      <c r="G5" s="225"/>
      <c r="H5" s="225"/>
      <c r="I5" s="226"/>
      <c r="J5" s="226"/>
      <c r="K5" s="226"/>
    </row>
    <row r="6" spans="1:11">
      <c r="A6" s="53"/>
      <c r="C6" s="49"/>
      <c r="D6" s="49"/>
      <c r="E6" s="49"/>
      <c r="F6" s="49"/>
      <c r="G6" s="49"/>
      <c r="H6" s="49"/>
    </row>
    <row r="7" spans="1:11" ht="37.5" customHeight="1">
      <c r="A7" s="224" t="s">
        <v>164</v>
      </c>
      <c r="B7" s="225"/>
      <c r="C7" s="225"/>
      <c r="D7" s="225"/>
      <c r="E7" s="225"/>
      <c r="F7" s="225"/>
      <c r="G7" s="225"/>
      <c r="H7" s="225"/>
      <c r="I7" s="226"/>
      <c r="J7" s="226"/>
      <c r="K7" s="226"/>
    </row>
    <row r="8" spans="1:11">
      <c r="A8" s="54"/>
      <c r="B8" s="55"/>
      <c r="C8" s="55"/>
      <c r="D8" s="55"/>
      <c r="E8" s="55"/>
      <c r="F8" s="55"/>
      <c r="G8" s="55"/>
      <c r="H8" s="55"/>
    </row>
    <row r="9" spans="1:11" ht="69" customHeight="1">
      <c r="A9" s="224" t="s">
        <v>165</v>
      </c>
      <c r="B9" s="225"/>
      <c r="C9" s="225"/>
      <c r="D9" s="225"/>
      <c r="E9" s="225"/>
      <c r="F9" s="225"/>
      <c r="G9" s="225"/>
      <c r="H9" s="225"/>
      <c r="I9" s="226"/>
      <c r="J9" s="226"/>
      <c r="K9" s="226"/>
    </row>
    <row r="10" spans="1:11">
      <c r="A10" s="54"/>
      <c r="B10" s="55"/>
      <c r="C10" s="55"/>
      <c r="D10" s="55"/>
      <c r="E10" s="55"/>
      <c r="F10" s="55"/>
      <c r="G10" s="55"/>
      <c r="H10" s="55"/>
    </row>
    <row r="11" spans="1:11" ht="69" customHeight="1">
      <c r="A11" s="224" t="s">
        <v>166</v>
      </c>
      <c r="B11" s="225"/>
      <c r="C11" s="225"/>
      <c r="D11" s="225"/>
      <c r="E11" s="225"/>
      <c r="F11" s="225"/>
      <c r="G11" s="225"/>
      <c r="H11" s="225"/>
      <c r="I11" s="226"/>
      <c r="J11" s="226"/>
      <c r="K11" s="226"/>
    </row>
    <row r="12" spans="1:11">
      <c r="A12" s="36"/>
      <c r="C12" s="49"/>
      <c r="D12" s="49"/>
      <c r="E12" s="49"/>
      <c r="F12" s="49"/>
      <c r="G12" s="49"/>
      <c r="H12" s="49"/>
    </row>
    <row r="13" spans="1:11" ht="58.5" customHeight="1">
      <c r="A13" s="224" t="s">
        <v>162</v>
      </c>
      <c r="B13" s="225"/>
      <c r="C13" s="225"/>
      <c r="D13" s="225"/>
      <c r="E13" s="225"/>
      <c r="F13" s="225"/>
      <c r="G13" s="225"/>
      <c r="H13" s="225"/>
      <c r="I13" s="226"/>
      <c r="J13" s="226"/>
      <c r="K13" s="226"/>
    </row>
    <row r="14" spans="1:11">
      <c r="A14" s="56"/>
      <c r="C14" s="49"/>
      <c r="D14" s="49"/>
      <c r="E14" s="49"/>
      <c r="F14" s="49"/>
      <c r="G14" s="49"/>
      <c r="H14" s="49"/>
    </row>
    <row r="15" spans="1:11" ht="58.5" customHeight="1">
      <c r="A15" s="224" t="s">
        <v>167</v>
      </c>
      <c r="B15" s="225"/>
      <c r="C15" s="225"/>
      <c r="D15" s="225"/>
      <c r="E15" s="225"/>
      <c r="F15" s="225"/>
      <c r="G15" s="225"/>
      <c r="H15" s="225"/>
      <c r="I15" s="226"/>
      <c r="J15" s="226"/>
      <c r="K15" s="226"/>
    </row>
    <row r="16" spans="1:11">
      <c r="A16" s="56"/>
      <c r="C16" s="49"/>
      <c r="D16" s="49"/>
      <c r="E16" s="49"/>
      <c r="F16" s="49"/>
      <c r="G16" s="49"/>
      <c r="H16" s="49"/>
    </row>
    <row r="17" spans="1:11" ht="72" customHeight="1">
      <c r="A17" s="224" t="s">
        <v>218</v>
      </c>
      <c r="B17" s="225"/>
      <c r="C17" s="225"/>
      <c r="D17" s="225"/>
      <c r="E17" s="225"/>
      <c r="F17" s="225"/>
      <c r="G17" s="225"/>
      <c r="H17" s="225"/>
      <c r="I17" s="226"/>
      <c r="J17" s="226"/>
      <c r="K17" s="226"/>
    </row>
  </sheetData>
  <mergeCells count="8">
    <mergeCell ref="A3:K3"/>
    <mergeCell ref="A5:K5"/>
    <mergeCell ref="A7:K7"/>
    <mergeCell ref="A9:K9"/>
    <mergeCell ref="A17:K17"/>
    <mergeCell ref="A11:K11"/>
    <mergeCell ref="A13:K13"/>
    <mergeCell ref="A15:K15"/>
  </mergeCells>
  <phoneticPr fontId="0" type="noConversion"/>
  <pageMargins left="0.78740157480314965" right="0.78740157480314965" top="0.78740157480314965" bottom="0.78740157480314965" header="0.51181102362204722" footer="0.51181102362204722"/>
  <pageSetup paperSize="9" scale="85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Resumo</vt:lpstr>
      <vt:lpstr>Planejamento</vt:lpstr>
      <vt:lpstr>Histórico de Versões</vt:lpstr>
      <vt:lpstr>Parâmetros</vt:lpstr>
      <vt:lpstr>Classificação Padrão</vt:lpstr>
      <vt:lpstr>Glossário</vt:lpstr>
      <vt:lpstr>Recursos</vt:lpstr>
    </vt:vector>
  </TitlesOfParts>
  <Company>Banco Central do Brasil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Pinheiro</dc:creator>
  <cp:lastModifiedBy>Erick</cp:lastModifiedBy>
  <cp:lastPrinted>2009-02-10T18:33:35Z</cp:lastPrinted>
  <dcterms:created xsi:type="dcterms:W3CDTF">2006-06-30T17:51:07Z</dcterms:created>
  <dcterms:modified xsi:type="dcterms:W3CDTF">2010-05-19T12:12:08Z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-1944566523</vt:i4>
  </property>
  <property fmtid="{D5CDD505-2E9C-101B-9397-08002B2CF9AE}" pid="3" name="_NewReviewCycle">
    <vt:lpwstr/>
  </property>
  <property fmtid="{D5CDD505-2E9C-101B-9397-08002B2CF9AE}" pid="4" name="_EmailSubject">
    <vt:lpwstr>Planilha ADCOM2</vt:lpwstr>
  </property>
  <property fmtid="{D5CDD505-2E9C-101B-9397-08002B2CF9AE}" pid="5" name="_AuthorEmail">
    <vt:lpwstr>deinf.lugomes@bc</vt:lpwstr>
  </property>
  <property fmtid="{D5CDD505-2E9C-101B-9397-08002B2CF9AE}" pid="6" name="_AuthorEmailDisplayName">
    <vt:lpwstr>Luciana Gomes Valenca</vt:lpwstr>
  </property>
  <property fmtid="{D5CDD505-2E9C-101B-9397-08002B2CF9AE}" pid="7" name="_PreviousAdHocReviewCycleID">
    <vt:i4>1896282864</vt:i4>
  </property>
  <property fmtid="{D5CDD505-2E9C-101B-9397-08002B2CF9AE}" pid="8" name="_ReviewingToolsShownOnce">
    <vt:lpwstr/>
  </property>
</Properties>
</file>