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ECONÓMICO\Química GEM RO\"/>
    </mc:Choice>
  </mc:AlternateContent>
  <xr:revisionPtr revIDLastSave="0" documentId="13_ncr:1_{1DC0A739-0120-4DE3-A4BD-A3D5BD99C046}" xr6:coauthVersionLast="47" xr6:coauthVersionMax="47" xr10:uidLastSave="{00000000-0000-0000-0000-000000000000}"/>
  <bookViews>
    <workbookView xWindow="-120" yWindow="-120" windowWidth="20730" windowHeight="11040" tabRatio="766" firstSheet="2" activeTab="3" xr2:uid="{E6F4B368-D079-49CA-BD04-88FCAF32A55F}"/>
  </bookViews>
  <sheets>
    <sheet name="PROYECCIÓN INSUMOS QUÍMICO" sheetId="30" r:id="rId1"/>
    <sheet name="INVENTARIO Y CONSUMO GEM  " sheetId="13" r:id="rId2"/>
    <sheet name="DB QUIMICA" sheetId="14" r:id="rId3"/>
    <sheet name="GRAFICAS" sheetId="27" r:id="rId4"/>
    <sheet name="INFORME CALIDAD" sheetId="28" r:id="rId5"/>
    <sheet name="CONSUMO QUÍMICA-CAUDALES GEM  " sheetId="16" r:id="rId6"/>
    <sheet name="INVENTARIO INSUMOS QUÍMICOS GEM" sheetId="6" r:id="rId7"/>
    <sheet name="REGISTRO RO" sheetId="20" r:id="rId8"/>
    <sheet name="CONSUMO QUÍMICA - CAUDALES RO" sheetId="24" r:id="rId9"/>
    <sheet name="INVENTARIO INSUMOS QUÍMICOS RO" sheetId="9" r:id="rId10"/>
    <sheet name="Consumos" sheetId="25" r:id="rId11"/>
  </sheets>
  <externalReferences>
    <externalReference r:id="rId12"/>
  </externalReferences>
  <definedNames>
    <definedName name="ANALISTA">#REF!</definedName>
    <definedName name="BALANCEO">#REF!</definedName>
    <definedName name="ESTADO">#REF!</definedName>
    <definedName name="PLANTAS">#REF!</definedName>
    <definedName name="PRENDA">#REF!</definedName>
    <definedName name="PROCESO">#REF!</definedName>
    <definedName name="SegmentaciónDeDatos_DIA">#N/A</definedName>
    <definedName name="SegmentaciónDeDatos_FECHA1">#N/A</definedName>
    <definedName name="SegmentaciónDeDatos_FECHA2">#N/A</definedName>
    <definedName name="TIPO">#REF!</definedName>
  </definedNames>
  <calcPr calcId="191029"/>
  <pivotCaches>
    <pivotCache cacheId="23" r:id="rId13"/>
    <pivotCache cacheId="24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27" l="1"/>
  <c r="R59" i="27"/>
  <c r="W27" i="20"/>
  <c r="J92" i="13" l="1"/>
  <c r="I92" i="13"/>
  <c r="N79" i="13"/>
  <c r="N66" i="13"/>
  <c r="N30" i="13"/>
  <c r="O89" i="13"/>
  <c r="O81" i="13"/>
  <c r="O80" i="13"/>
  <c r="O70" i="13"/>
  <c r="O67" i="13"/>
  <c r="O62" i="13"/>
  <c r="J91" i="13"/>
  <c r="J90" i="13"/>
  <c r="J89" i="13"/>
  <c r="J88" i="13"/>
  <c r="I91" i="13"/>
  <c r="I90" i="13"/>
  <c r="I89" i="13"/>
  <c r="I88" i="13"/>
  <c r="O72" i="13"/>
  <c r="N72" i="13"/>
  <c r="N74" i="13"/>
  <c r="H84" i="13"/>
  <c r="G84" i="13"/>
  <c r="F84" i="13"/>
  <c r="J87" i="13"/>
  <c r="J86" i="13"/>
  <c r="J85" i="13"/>
  <c r="J84" i="13"/>
  <c r="I87" i="13"/>
  <c r="I86" i="13"/>
  <c r="I85" i="13"/>
  <c r="I84" i="13"/>
  <c r="H78" i="13"/>
  <c r="F78" i="13"/>
  <c r="J83" i="13"/>
  <c r="J82" i="13"/>
  <c r="J81" i="13"/>
  <c r="J79" i="13"/>
  <c r="J78" i="13"/>
  <c r="J76" i="13"/>
  <c r="J75" i="13"/>
  <c r="J74" i="13"/>
  <c r="J72" i="13"/>
  <c r="J71" i="13"/>
  <c r="J69" i="13"/>
  <c r="J63" i="13"/>
  <c r="J62" i="13"/>
  <c r="J61" i="13"/>
  <c r="J60" i="13"/>
  <c r="J53" i="13"/>
  <c r="J54" i="13" s="1"/>
  <c r="J55" i="13" s="1"/>
  <c r="J56" i="13" s="1"/>
  <c r="J57" i="13" s="1"/>
  <c r="J58" i="13" s="1"/>
  <c r="J59" i="13" s="1"/>
  <c r="I83" i="13"/>
  <c r="I81" i="13"/>
  <c r="I76" i="13"/>
  <c r="I75" i="13"/>
  <c r="I71" i="13"/>
  <c r="I63" i="13"/>
  <c r="I62" i="13"/>
  <c r="I61" i="13"/>
  <c r="I60" i="13"/>
  <c r="H56" i="13"/>
  <c r="G56" i="13"/>
  <c r="F56" i="13"/>
  <c r="I56" i="13"/>
  <c r="I57" i="13" s="1"/>
  <c r="I58" i="13" s="1"/>
  <c r="I59" i="13" s="1"/>
  <c r="O53" i="13"/>
  <c r="N54" i="13"/>
  <c r="I55" i="13"/>
  <c r="I54" i="13"/>
  <c r="I53" i="13"/>
  <c r="I52" i="13"/>
  <c r="J97" i="20"/>
  <c r="Z25" i="14"/>
  <c r="I64" i="13" l="1"/>
  <c r="I65" i="13" s="1"/>
  <c r="I66" i="13" s="1"/>
  <c r="I67" i="13" s="1"/>
  <c r="I68" i="13" s="1"/>
  <c r="I69" i="13" s="1"/>
  <c r="I70" i="13" s="1"/>
  <c r="I72" i="13" s="1"/>
  <c r="I73" i="13" s="1"/>
  <c r="I74" i="13" s="1"/>
  <c r="I77" i="13" s="1"/>
  <c r="I78" i="13" s="1"/>
  <c r="I79" i="13" s="1"/>
  <c r="I80" i="13" s="1"/>
  <c r="I82" i="13" s="1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V95" i="20" s="1"/>
  <c r="AF95" i="20" s="1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W21" i="20" s="1"/>
  <c r="R22" i="20"/>
  <c r="R23" i="20"/>
  <c r="R24" i="20"/>
  <c r="R25" i="20"/>
  <c r="R26" i="20"/>
  <c r="R27" i="20"/>
  <c r="R28" i="20"/>
  <c r="R29" i="20"/>
  <c r="W29" i="20" s="1"/>
  <c r="R30" i="20"/>
  <c r="R31" i="20"/>
  <c r="R32" i="20"/>
  <c r="R33" i="20"/>
  <c r="R34" i="20"/>
  <c r="R35" i="20"/>
  <c r="R36" i="20"/>
  <c r="R37" i="20"/>
  <c r="W37" i="20" s="1"/>
  <c r="R38" i="20"/>
  <c r="R39" i="20"/>
  <c r="R40" i="20"/>
  <c r="R41" i="20"/>
  <c r="R42" i="20"/>
  <c r="R43" i="20"/>
  <c r="R44" i="20"/>
  <c r="R45" i="20"/>
  <c r="W45" i="20" s="1"/>
  <c r="R46" i="20"/>
  <c r="R47" i="20"/>
  <c r="R48" i="20"/>
  <c r="R49" i="20"/>
  <c r="R50" i="20"/>
  <c r="R51" i="20"/>
  <c r="R52" i="20"/>
  <c r="R53" i="20"/>
  <c r="W53" i="20" s="1"/>
  <c r="R54" i="20"/>
  <c r="R55" i="20"/>
  <c r="R56" i="20"/>
  <c r="R57" i="20"/>
  <c r="R58" i="20"/>
  <c r="R59" i="20"/>
  <c r="R60" i="20"/>
  <c r="R61" i="20"/>
  <c r="W61" i="20" s="1"/>
  <c r="R62" i="20"/>
  <c r="R63" i="20"/>
  <c r="R64" i="20"/>
  <c r="R65" i="20"/>
  <c r="R66" i="20"/>
  <c r="R67" i="20"/>
  <c r="R68" i="20"/>
  <c r="R69" i="20"/>
  <c r="W69" i="20" s="1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W92" i="20" s="1"/>
  <c r="R93" i="20"/>
  <c r="W93" i="20" s="1"/>
  <c r="R94" i="20"/>
  <c r="R95" i="20"/>
  <c r="S2" i="20"/>
  <c r="S3" i="20"/>
  <c r="S4" i="20"/>
  <c r="X3" i="20" s="1"/>
  <c r="AH3" i="20" s="1"/>
  <c r="S5" i="20"/>
  <c r="S6" i="20"/>
  <c r="S7" i="20"/>
  <c r="S8" i="20"/>
  <c r="S9" i="20"/>
  <c r="S10" i="20"/>
  <c r="S11" i="20"/>
  <c r="S12" i="20"/>
  <c r="S13" i="20"/>
  <c r="S14" i="20"/>
  <c r="S15" i="20"/>
  <c r="S16" i="20"/>
  <c r="S17" i="20"/>
  <c r="S18" i="20"/>
  <c r="S19" i="20"/>
  <c r="S20" i="20"/>
  <c r="S21" i="20"/>
  <c r="S22" i="20"/>
  <c r="S23" i="20"/>
  <c r="S24" i="20"/>
  <c r="S25" i="20"/>
  <c r="S26" i="20"/>
  <c r="S27" i="20"/>
  <c r="X26" i="20" s="1"/>
  <c r="AH26" i="20" s="1"/>
  <c r="S28" i="20"/>
  <c r="S29" i="20"/>
  <c r="S30" i="20"/>
  <c r="S31" i="20"/>
  <c r="S32" i="20"/>
  <c r="S33" i="20"/>
  <c r="S34" i="20"/>
  <c r="S35" i="20"/>
  <c r="S36" i="20"/>
  <c r="S37" i="20"/>
  <c r="S38" i="20"/>
  <c r="S39" i="20"/>
  <c r="S40" i="20"/>
  <c r="S41" i="20"/>
  <c r="S42" i="20"/>
  <c r="S43" i="20"/>
  <c r="S44" i="20"/>
  <c r="S45" i="20"/>
  <c r="S46" i="20"/>
  <c r="S47" i="20"/>
  <c r="S48" i="20"/>
  <c r="S49" i="20"/>
  <c r="S50" i="20"/>
  <c r="S51" i="20"/>
  <c r="S52" i="20"/>
  <c r="S53" i="20"/>
  <c r="S54" i="20"/>
  <c r="S55" i="20"/>
  <c r="S56" i="20"/>
  <c r="S57" i="20"/>
  <c r="S58" i="20"/>
  <c r="S59" i="20"/>
  <c r="S60" i="20"/>
  <c r="S61" i="20"/>
  <c r="S62" i="20"/>
  <c r="S63" i="20"/>
  <c r="S64" i="20"/>
  <c r="S65" i="20"/>
  <c r="S66" i="20"/>
  <c r="S67" i="20"/>
  <c r="S68" i="20"/>
  <c r="S69" i="20"/>
  <c r="S70" i="20"/>
  <c r="S71" i="20"/>
  <c r="S72" i="20"/>
  <c r="S73" i="20"/>
  <c r="S74" i="20"/>
  <c r="S75" i="20"/>
  <c r="S76" i="20"/>
  <c r="S77" i="20"/>
  <c r="S78" i="20"/>
  <c r="S79" i="20"/>
  <c r="S80" i="20"/>
  <c r="S81" i="20"/>
  <c r="S82" i="20"/>
  <c r="S83" i="20"/>
  <c r="S84" i="20"/>
  <c r="S85" i="20"/>
  <c r="S86" i="20"/>
  <c r="S87" i="20"/>
  <c r="S88" i="20"/>
  <c r="S89" i="20"/>
  <c r="S90" i="20"/>
  <c r="S91" i="20"/>
  <c r="S92" i="20"/>
  <c r="S93" i="20"/>
  <c r="S94" i="20"/>
  <c r="S95" i="20"/>
  <c r="X95" i="20" s="1"/>
  <c r="AH95" i="20" s="1"/>
  <c r="T2" i="20"/>
  <c r="T3" i="20"/>
  <c r="T4" i="20"/>
  <c r="T5" i="20"/>
  <c r="T6" i="20"/>
  <c r="T7" i="20"/>
  <c r="T8" i="20"/>
  <c r="T9" i="20"/>
  <c r="T10" i="20"/>
  <c r="T11" i="20"/>
  <c r="T12" i="20"/>
  <c r="T13" i="20"/>
  <c r="Y12" i="20" s="1"/>
  <c r="AI12" i="20" s="1"/>
  <c r="T14" i="20"/>
  <c r="T15" i="20"/>
  <c r="T16" i="20"/>
  <c r="T17" i="20"/>
  <c r="T18" i="20"/>
  <c r="T19" i="20"/>
  <c r="T20" i="20"/>
  <c r="T21" i="20"/>
  <c r="Y20" i="20" s="1"/>
  <c r="AI20" i="20" s="1"/>
  <c r="T22" i="20"/>
  <c r="T23" i="20"/>
  <c r="T24" i="20"/>
  <c r="T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Y36" i="20" s="1"/>
  <c r="AI36" i="20" s="1"/>
  <c r="T38" i="20"/>
  <c r="T39" i="20"/>
  <c r="T40" i="20"/>
  <c r="T41" i="20"/>
  <c r="T42" i="20"/>
  <c r="T43" i="20"/>
  <c r="T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58" i="20"/>
  <c r="T59" i="20"/>
  <c r="T60" i="20"/>
  <c r="T61" i="20"/>
  <c r="T62" i="20"/>
  <c r="T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77" i="20"/>
  <c r="T78" i="20"/>
  <c r="T79" i="20"/>
  <c r="T80" i="20"/>
  <c r="T81" i="20"/>
  <c r="T82" i="20"/>
  <c r="T83" i="20"/>
  <c r="T84" i="20"/>
  <c r="T85" i="20"/>
  <c r="T86" i="20"/>
  <c r="Y85" i="20" s="1"/>
  <c r="AI85" i="20" s="1"/>
  <c r="T87" i="20"/>
  <c r="T88" i="20"/>
  <c r="T89" i="20"/>
  <c r="T90" i="20"/>
  <c r="T91" i="20"/>
  <c r="T92" i="20"/>
  <c r="T93" i="20"/>
  <c r="T94" i="20"/>
  <c r="T95" i="20"/>
  <c r="Y95" i="20" s="1"/>
  <c r="AI95" i="20" s="1"/>
  <c r="U2" i="20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59" i="20"/>
  <c r="U60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Z71" i="20" s="1"/>
  <c r="AJ71" i="20" s="1"/>
  <c r="U73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Z86" i="20" s="1"/>
  <c r="AJ86" i="20" s="1"/>
  <c r="U88" i="20"/>
  <c r="U89" i="20"/>
  <c r="U90" i="20"/>
  <c r="U91" i="20"/>
  <c r="U92" i="20"/>
  <c r="U93" i="20"/>
  <c r="U94" i="20"/>
  <c r="U95" i="20"/>
  <c r="Z95" i="20" s="1"/>
  <c r="AJ95" i="20" s="1"/>
  <c r="W68" i="20" l="1"/>
  <c r="W4" i="20"/>
  <c r="W84" i="20"/>
  <c r="W52" i="20"/>
  <c r="W28" i="20"/>
  <c r="W20" i="20"/>
  <c r="W12" i="20"/>
  <c r="W36" i="20"/>
  <c r="AG36" i="20" s="1"/>
  <c r="W76" i="20"/>
  <c r="W60" i="20"/>
  <c r="W44" i="20"/>
  <c r="J64" i="13"/>
  <c r="J65" i="13" s="1"/>
  <c r="W94" i="20"/>
  <c r="W86" i="20"/>
  <c r="AG86" i="20" s="1"/>
  <c r="W78" i="20"/>
  <c r="AG78" i="20" s="1"/>
  <c r="W70" i="20"/>
  <c r="AG70" i="20" s="1"/>
  <c r="W6" i="20"/>
  <c r="W13" i="20"/>
  <c r="AG13" i="20" s="1"/>
  <c r="W91" i="20"/>
  <c r="W43" i="20"/>
  <c r="AG43" i="20" s="1"/>
  <c r="W3" i="20"/>
  <c r="W82" i="20"/>
  <c r="W34" i="20"/>
  <c r="W10" i="20"/>
  <c r="AG10" i="20" s="1"/>
  <c r="W33" i="20"/>
  <c r="AG33" i="20" s="1"/>
  <c r="W83" i="20"/>
  <c r="AG83" i="20" s="1"/>
  <c r="W51" i="20"/>
  <c r="AG51" i="20" s="1"/>
  <c r="W11" i="20"/>
  <c r="AG11" i="20" s="1"/>
  <c r="W50" i="20"/>
  <c r="W89" i="20"/>
  <c r="W57" i="20"/>
  <c r="AG57" i="20" s="1"/>
  <c r="W64" i="20"/>
  <c r="AG64" i="20" s="1"/>
  <c r="W40" i="20"/>
  <c r="AG40" i="20" s="1"/>
  <c r="W24" i="20"/>
  <c r="AG24" i="20" s="1"/>
  <c r="W16" i="20"/>
  <c r="AG16" i="20" s="1"/>
  <c r="W67" i="20"/>
  <c r="AG67" i="20" s="1"/>
  <c r="W90" i="20"/>
  <c r="W58" i="20"/>
  <c r="AG58" i="20" s="1"/>
  <c r="W2" i="20"/>
  <c r="AG2" i="20" s="1"/>
  <c r="W73" i="20"/>
  <c r="AG73" i="20" s="1"/>
  <c r="W49" i="20"/>
  <c r="AG49" i="20" s="1"/>
  <c r="W9" i="20"/>
  <c r="AG9" i="20" s="1"/>
  <c r="W72" i="20"/>
  <c r="AG72" i="20" s="1"/>
  <c r="W32" i="20"/>
  <c r="W95" i="20"/>
  <c r="AG95" i="20" s="1"/>
  <c r="W87" i="20"/>
  <c r="AG87" i="20" s="1"/>
  <c r="W79" i="20"/>
  <c r="AG79" i="20" s="1"/>
  <c r="W71" i="20"/>
  <c r="AG71" i="20" s="1"/>
  <c r="W63" i="20"/>
  <c r="AG63" i="20" s="1"/>
  <c r="W55" i="20"/>
  <c r="W47" i="20"/>
  <c r="AG47" i="20" s="1"/>
  <c r="W39" i="20"/>
  <c r="AG39" i="20" s="1"/>
  <c r="W31" i="20"/>
  <c r="AG31" i="20" s="1"/>
  <c r="W23" i="20"/>
  <c r="AG23" i="20" s="1"/>
  <c r="W15" i="20"/>
  <c r="AG15" i="20" s="1"/>
  <c r="W7" i="20"/>
  <c r="AG7" i="20" s="1"/>
  <c r="W75" i="20"/>
  <c r="AG75" i="20" s="1"/>
  <c r="W35" i="20"/>
  <c r="W74" i="20"/>
  <c r="AG74" i="20" s="1"/>
  <c r="W42" i="20"/>
  <c r="W18" i="20"/>
  <c r="AG18" i="20" s="1"/>
  <c r="W81" i="20"/>
  <c r="AG81" i="20" s="1"/>
  <c r="W41" i="20"/>
  <c r="AG41" i="20" s="1"/>
  <c r="W17" i="20"/>
  <c r="AG17" i="20" s="1"/>
  <c r="W80" i="20"/>
  <c r="W48" i="20"/>
  <c r="AG48" i="20" s="1"/>
  <c r="W62" i="20"/>
  <c r="AG62" i="20" s="1"/>
  <c r="W54" i="20"/>
  <c r="W46" i="20"/>
  <c r="AG46" i="20" s="1"/>
  <c r="W38" i="20"/>
  <c r="AG38" i="20" s="1"/>
  <c r="W30" i="20"/>
  <c r="AG30" i="20" s="1"/>
  <c r="W22" i="20"/>
  <c r="AG22" i="20" s="1"/>
  <c r="W14" i="20"/>
  <c r="AG14" i="20" s="1"/>
  <c r="W59" i="20"/>
  <c r="AG59" i="20" s="1"/>
  <c r="W19" i="20"/>
  <c r="AG19" i="20" s="1"/>
  <c r="W66" i="20"/>
  <c r="AG66" i="20" s="1"/>
  <c r="W26" i="20"/>
  <c r="AG26" i="20" s="1"/>
  <c r="W65" i="20"/>
  <c r="AG65" i="20" s="1"/>
  <c r="W25" i="20"/>
  <c r="AG25" i="20" s="1"/>
  <c r="W88" i="20"/>
  <c r="AG88" i="20" s="1"/>
  <c r="W56" i="20"/>
  <c r="AG56" i="20" s="1"/>
  <c r="W8" i="20"/>
  <c r="AG8" i="20" s="1"/>
  <c r="W85" i="20"/>
  <c r="AG85" i="20" s="1"/>
  <c r="W77" i="20"/>
  <c r="W5" i="20"/>
  <c r="AG5" i="20" s="1"/>
  <c r="Y92" i="20"/>
  <c r="AI92" i="20" s="1"/>
  <c r="X17" i="20"/>
  <c r="AH17" i="20" s="1"/>
  <c r="Z30" i="20"/>
  <c r="AJ30" i="20" s="1"/>
  <c r="V43" i="20"/>
  <c r="AF43" i="20" s="1"/>
  <c r="Z2" i="20"/>
  <c r="AJ2" i="20" s="1"/>
  <c r="AX2" i="20" s="1"/>
  <c r="Y69" i="20"/>
  <c r="AI69" i="20" s="1"/>
  <c r="Y5" i="20"/>
  <c r="AI5" i="20" s="1"/>
  <c r="Z85" i="20"/>
  <c r="AJ85" i="20" s="1"/>
  <c r="Z46" i="20"/>
  <c r="AJ46" i="20" s="1"/>
  <c r="Z38" i="20"/>
  <c r="AJ38" i="20" s="1"/>
  <c r="Z22" i="20"/>
  <c r="AJ22" i="20" s="1"/>
  <c r="Y4" i="20"/>
  <c r="AI4" i="20" s="1"/>
  <c r="X82" i="20"/>
  <c r="AH82" i="20" s="1"/>
  <c r="X66" i="20"/>
  <c r="AH66" i="20" s="1"/>
  <c r="X18" i="20"/>
  <c r="AH18" i="20" s="1"/>
  <c r="V62" i="20"/>
  <c r="AF62" i="20" s="1"/>
  <c r="V54" i="20"/>
  <c r="AF54" i="20" s="1"/>
  <c r="V38" i="20"/>
  <c r="AF38" i="20" s="1"/>
  <c r="X34" i="20"/>
  <c r="AH34" i="20" s="1"/>
  <c r="X10" i="20"/>
  <c r="AH10" i="20" s="1"/>
  <c r="Z77" i="20"/>
  <c r="AJ77" i="20" s="1"/>
  <c r="Z53" i="20"/>
  <c r="AJ53" i="20" s="1"/>
  <c r="Z29" i="20"/>
  <c r="AJ29" i="20" s="1"/>
  <c r="Y91" i="20"/>
  <c r="AI91" i="20" s="1"/>
  <c r="Y67" i="20"/>
  <c r="AI67" i="20" s="1"/>
  <c r="Y43" i="20"/>
  <c r="AI43" i="20" s="1"/>
  <c r="Y27" i="20"/>
  <c r="AI27" i="20" s="1"/>
  <c r="Y3" i="20"/>
  <c r="AI3" i="20" s="1"/>
  <c r="X73" i="20"/>
  <c r="AH73" i="20" s="1"/>
  <c r="X49" i="20"/>
  <c r="AH49" i="20" s="1"/>
  <c r="X25" i="20"/>
  <c r="AH25" i="20" s="1"/>
  <c r="V77" i="20"/>
  <c r="AF77" i="20" s="1"/>
  <c r="V61" i="20"/>
  <c r="AF61" i="20" s="1"/>
  <c r="V45" i="20"/>
  <c r="AF45" i="20" s="1"/>
  <c r="V29" i="20"/>
  <c r="AF29" i="20" s="1"/>
  <c r="V13" i="20"/>
  <c r="AF13" i="20" s="1"/>
  <c r="Z72" i="20"/>
  <c r="AJ72" i="20" s="1"/>
  <c r="Y13" i="20"/>
  <c r="AI13" i="20" s="1"/>
  <c r="Z54" i="20"/>
  <c r="AJ54" i="20" s="1"/>
  <c r="Y68" i="20"/>
  <c r="AI68" i="20" s="1"/>
  <c r="V6" i="20"/>
  <c r="AF6" i="20" s="1"/>
  <c r="Z69" i="20"/>
  <c r="AJ69" i="20" s="1"/>
  <c r="Z45" i="20"/>
  <c r="AJ45" i="20" s="1"/>
  <c r="Z21" i="20"/>
  <c r="AJ21" i="20" s="1"/>
  <c r="Y83" i="20"/>
  <c r="AI83" i="20" s="1"/>
  <c r="Y51" i="20"/>
  <c r="AI51" i="20" s="1"/>
  <c r="Y19" i="20"/>
  <c r="AI19" i="20" s="1"/>
  <c r="X89" i="20"/>
  <c r="AH89" i="20" s="1"/>
  <c r="X65" i="20"/>
  <c r="AH65" i="20" s="1"/>
  <c r="X41" i="20"/>
  <c r="AH41" i="20" s="1"/>
  <c r="V85" i="20"/>
  <c r="AF85" i="20" s="1"/>
  <c r="X2" i="20"/>
  <c r="AH2" i="20" s="1"/>
  <c r="V46" i="20"/>
  <c r="AF46" i="20" s="1"/>
  <c r="Z93" i="20"/>
  <c r="AJ93" i="20" s="1"/>
  <c r="Z61" i="20"/>
  <c r="AJ61" i="20" s="1"/>
  <c r="Z37" i="20"/>
  <c r="AJ37" i="20" s="1"/>
  <c r="Z13" i="20"/>
  <c r="AJ13" i="20" s="1"/>
  <c r="Y75" i="20"/>
  <c r="AI75" i="20" s="1"/>
  <c r="Y59" i="20"/>
  <c r="AI59" i="20" s="1"/>
  <c r="Y35" i="20"/>
  <c r="AI35" i="20" s="1"/>
  <c r="Y11" i="20"/>
  <c r="AI11" i="20" s="1"/>
  <c r="X81" i="20"/>
  <c r="AH81" i="20" s="1"/>
  <c r="X57" i="20"/>
  <c r="AH57" i="20" s="1"/>
  <c r="X33" i="20"/>
  <c r="AH33" i="20" s="1"/>
  <c r="X9" i="20"/>
  <c r="AH9" i="20" s="1"/>
  <c r="AG55" i="20"/>
  <c r="V93" i="20"/>
  <c r="AF93" i="20" s="1"/>
  <c r="V69" i="20"/>
  <c r="AF69" i="20" s="1"/>
  <c r="V53" i="20"/>
  <c r="AF53" i="20" s="1"/>
  <c r="V37" i="20"/>
  <c r="AF37" i="20" s="1"/>
  <c r="V21" i="20"/>
  <c r="AF21" i="20" s="1"/>
  <c r="AG3" i="20"/>
  <c r="Z4" i="20"/>
  <c r="AJ4" i="20" s="1"/>
  <c r="Z5" i="20"/>
  <c r="AJ5" i="20" s="1"/>
  <c r="Z92" i="20"/>
  <c r="AJ92" i="20" s="1"/>
  <c r="Z84" i="20"/>
  <c r="AJ84" i="20" s="1"/>
  <c r="Z76" i="20"/>
  <c r="AJ76" i="20" s="1"/>
  <c r="Z68" i="20"/>
  <c r="AJ68" i="20" s="1"/>
  <c r="Z60" i="20"/>
  <c r="AJ60" i="20" s="1"/>
  <c r="Z52" i="20"/>
  <c r="AJ52" i="20" s="1"/>
  <c r="Z44" i="20"/>
  <c r="AJ44" i="20" s="1"/>
  <c r="Z36" i="20"/>
  <c r="AJ36" i="20" s="1"/>
  <c r="Z28" i="20"/>
  <c r="AJ28" i="20" s="1"/>
  <c r="Z20" i="20"/>
  <c r="AJ20" i="20" s="1"/>
  <c r="Z12" i="20"/>
  <c r="AJ12" i="20" s="1"/>
  <c r="Y90" i="20"/>
  <c r="AI90" i="20" s="1"/>
  <c r="Y82" i="20"/>
  <c r="AI82" i="20" s="1"/>
  <c r="Y74" i="20"/>
  <c r="AI74" i="20" s="1"/>
  <c r="Y66" i="20"/>
  <c r="AI66" i="20" s="1"/>
  <c r="Y58" i="20"/>
  <c r="AI58" i="20" s="1"/>
  <c r="Y50" i="20"/>
  <c r="AI50" i="20" s="1"/>
  <c r="Y42" i="20"/>
  <c r="AI42" i="20" s="1"/>
  <c r="Y34" i="20"/>
  <c r="AI34" i="20" s="1"/>
  <c r="Y26" i="20"/>
  <c r="AI26" i="20" s="1"/>
  <c r="Y18" i="20"/>
  <c r="AI18" i="20" s="1"/>
  <c r="Y10" i="20"/>
  <c r="AI10" i="20" s="1"/>
  <c r="Y2" i="20"/>
  <c r="AI2" i="20" s="1"/>
  <c r="X88" i="20"/>
  <c r="AH88" i="20" s="1"/>
  <c r="X80" i="20"/>
  <c r="AH80" i="20" s="1"/>
  <c r="X72" i="20"/>
  <c r="AH72" i="20" s="1"/>
  <c r="X64" i="20"/>
  <c r="AH64" i="20" s="1"/>
  <c r="X56" i="20"/>
  <c r="AH56" i="20" s="1"/>
  <c r="X48" i="20"/>
  <c r="AH48" i="20" s="1"/>
  <c r="X40" i="20"/>
  <c r="AH40" i="20" s="1"/>
  <c r="X32" i="20"/>
  <c r="AH32" i="20" s="1"/>
  <c r="X24" i="20"/>
  <c r="AH24" i="20" s="1"/>
  <c r="X16" i="20"/>
  <c r="AH16" i="20" s="1"/>
  <c r="X8" i="20"/>
  <c r="AH8" i="20" s="1"/>
  <c r="AG94" i="20"/>
  <c r="AG54" i="20"/>
  <c r="AG6" i="20"/>
  <c r="V92" i="20"/>
  <c r="AF92" i="20" s="1"/>
  <c r="V84" i="20"/>
  <c r="AF84" i="20" s="1"/>
  <c r="V76" i="20"/>
  <c r="AF76" i="20" s="1"/>
  <c r="V68" i="20"/>
  <c r="AF68" i="20" s="1"/>
  <c r="V60" i="20"/>
  <c r="AF60" i="20" s="1"/>
  <c r="V52" i="20"/>
  <c r="AF52" i="20" s="1"/>
  <c r="V44" i="20"/>
  <c r="AF44" i="20" s="1"/>
  <c r="V36" i="20"/>
  <c r="AF36" i="20" s="1"/>
  <c r="V28" i="20"/>
  <c r="AF28" i="20" s="1"/>
  <c r="V20" i="20"/>
  <c r="AF20" i="20" s="1"/>
  <c r="V12" i="20"/>
  <c r="AF12" i="20" s="1"/>
  <c r="Z91" i="20"/>
  <c r="AJ91" i="20" s="1"/>
  <c r="Z83" i="20"/>
  <c r="AJ83" i="20" s="1"/>
  <c r="Z75" i="20"/>
  <c r="AJ75" i="20" s="1"/>
  <c r="Z67" i="20"/>
  <c r="AJ67" i="20" s="1"/>
  <c r="Z59" i="20"/>
  <c r="AJ59" i="20" s="1"/>
  <c r="Z51" i="20"/>
  <c r="AJ51" i="20" s="1"/>
  <c r="Z43" i="20"/>
  <c r="AJ43" i="20" s="1"/>
  <c r="Z35" i="20"/>
  <c r="AJ35" i="20" s="1"/>
  <c r="Z27" i="20"/>
  <c r="AJ27" i="20" s="1"/>
  <c r="Z19" i="20"/>
  <c r="AJ19" i="20" s="1"/>
  <c r="Z11" i="20"/>
  <c r="AJ11" i="20" s="1"/>
  <c r="Z3" i="20"/>
  <c r="AJ3" i="20" s="1"/>
  <c r="Y89" i="20"/>
  <c r="AI89" i="20" s="1"/>
  <c r="Y81" i="20"/>
  <c r="AI81" i="20" s="1"/>
  <c r="Y73" i="20"/>
  <c r="AI73" i="20" s="1"/>
  <c r="Y65" i="20"/>
  <c r="AI65" i="20" s="1"/>
  <c r="AG29" i="20"/>
  <c r="V75" i="20"/>
  <c r="AF75" i="20" s="1"/>
  <c r="Y57" i="20"/>
  <c r="AI57" i="20" s="1"/>
  <c r="Y49" i="20"/>
  <c r="AI49" i="20" s="1"/>
  <c r="Y41" i="20"/>
  <c r="AI41" i="20" s="1"/>
  <c r="Y33" i="20"/>
  <c r="AI33" i="20" s="1"/>
  <c r="X87" i="20"/>
  <c r="AH87" i="20" s="1"/>
  <c r="X79" i="20"/>
  <c r="AH79" i="20" s="1"/>
  <c r="X71" i="20"/>
  <c r="AH71" i="20" s="1"/>
  <c r="X39" i="20"/>
  <c r="AH39" i="20" s="1"/>
  <c r="X31" i="20"/>
  <c r="AH31" i="20" s="1"/>
  <c r="X23" i="20"/>
  <c r="AH23" i="20" s="1"/>
  <c r="X15" i="20"/>
  <c r="AH15" i="20" s="1"/>
  <c r="X7" i="20"/>
  <c r="AH7" i="20" s="1"/>
  <c r="AG93" i="20"/>
  <c r="AG77" i="20"/>
  <c r="AG69" i="20"/>
  <c r="AG61" i="20"/>
  <c r="AG21" i="20"/>
  <c r="V83" i="20"/>
  <c r="AF83" i="20" s="1"/>
  <c r="V67" i="20"/>
  <c r="AF67" i="20" s="1"/>
  <c r="V59" i="20"/>
  <c r="AF59" i="20" s="1"/>
  <c r="V51" i="20"/>
  <c r="AF51" i="20" s="1"/>
  <c r="V11" i="20"/>
  <c r="AF11" i="20" s="1"/>
  <c r="V3" i="20"/>
  <c r="AF3" i="20" s="1"/>
  <c r="Z90" i="20"/>
  <c r="AJ90" i="20" s="1"/>
  <c r="Z82" i="20"/>
  <c r="AJ82" i="20" s="1"/>
  <c r="Z74" i="20"/>
  <c r="AJ74" i="20" s="1"/>
  <c r="Z66" i="20"/>
  <c r="AJ66" i="20" s="1"/>
  <c r="Z58" i="20"/>
  <c r="AJ58" i="20" s="1"/>
  <c r="Z50" i="20"/>
  <c r="AJ50" i="20" s="1"/>
  <c r="Z42" i="20"/>
  <c r="AJ42" i="20" s="1"/>
  <c r="Z34" i="20"/>
  <c r="AJ34" i="20" s="1"/>
  <c r="Z26" i="20"/>
  <c r="AJ26" i="20" s="1"/>
  <c r="Z18" i="20"/>
  <c r="AJ18" i="20" s="1"/>
  <c r="Z10" i="20"/>
  <c r="AJ10" i="20" s="1"/>
  <c r="Y88" i="20"/>
  <c r="AI88" i="20" s="1"/>
  <c r="Y80" i="20"/>
  <c r="AI80" i="20" s="1"/>
  <c r="Y72" i="20"/>
  <c r="AI72" i="20" s="1"/>
  <c r="Y64" i="20"/>
  <c r="AI64" i="20" s="1"/>
  <c r="Y56" i="20"/>
  <c r="AI56" i="20" s="1"/>
  <c r="Y48" i="20"/>
  <c r="AI48" i="20" s="1"/>
  <c r="Y40" i="20"/>
  <c r="AI40" i="20" s="1"/>
  <c r="Y32" i="20"/>
  <c r="AI32" i="20" s="1"/>
  <c r="Y24" i="20"/>
  <c r="AI24" i="20" s="1"/>
  <c r="Y16" i="20"/>
  <c r="AI16" i="20" s="1"/>
  <c r="Y8" i="20"/>
  <c r="AI8" i="20" s="1"/>
  <c r="X94" i="20"/>
  <c r="AH94" i="20" s="1"/>
  <c r="X86" i="20"/>
  <c r="AH86" i="20" s="1"/>
  <c r="X78" i="20"/>
  <c r="AH78" i="20" s="1"/>
  <c r="X70" i="20"/>
  <c r="AH70" i="20" s="1"/>
  <c r="X62" i="20"/>
  <c r="AH62" i="20" s="1"/>
  <c r="X54" i="20"/>
  <c r="AH54" i="20" s="1"/>
  <c r="X46" i="20"/>
  <c r="AH46" i="20" s="1"/>
  <c r="X38" i="20"/>
  <c r="AH38" i="20" s="1"/>
  <c r="X30" i="20"/>
  <c r="AH30" i="20" s="1"/>
  <c r="X22" i="20"/>
  <c r="AH22" i="20" s="1"/>
  <c r="X14" i="20"/>
  <c r="AH14" i="20" s="1"/>
  <c r="X6" i="20"/>
  <c r="AH6" i="20" s="1"/>
  <c r="AG92" i="20"/>
  <c r="AG84" i="20"/>
  <c r="AG76" i="20"/>
  <c r="AG68" i="20"/>
  <c r="AG60" i="20"/>
  <c r="AG52" i="20"/>
  <c r="V2" i="20"/>
  <c r="AF2" i="20" s="1"/>
  <c r="AG20" i="20"/>
  <c r="V82" i="20"/>
  <c r="AF82" i="20" s="1"/>
  <c r="V18" i="20"/>
  <c r="AF18" i="20" s="1"/>
  <c r="Y79" i="20"/>
  <c r="AI79" i="20" s="1"/>
  <c r="AG50" i="20"/>
  <c r="AG34" i="20"/>
  <c r="V88" i="20"/>
  <c r="AF88" i="20" s="1"/>
  <c r="V72" i="20"/>
  <c r="AF72" i="20" s="1"/>
  <c r="V56" i="20"/>
  <c r="AF56" i="20" s="1"/>
  <c r="V40" i="20"/>
  <c r="AF40" i="20" s="1"/>
  <c r="V24" i="20"/>
  <c r="AF24" i="20" s="1"/>
  <c r="V8" i="20"/>
  <c r="AF8" i="20" s="1"/>
  <c r="Z87" i="20"/>
  <c r="AJ87" i="20" s="1"/>
  <c r="Z79" i="20"/>
  <c r="AJ79" i="20" s="1"/>
  <c r="Z63" i="20"/>
  <c r="AJ63" i="20" s="1"/>
  <c r="Z55" i="20"/>
  <c r="AJ55" i="20" s="1"/>
  <c r="Z23" i="20"/>
  <c r="AJ23" i="20" s="1"/>
  <c r="Z15" i="20"/>
  <c r="AJ15" i="20" s="1"/>
  <c r="Z7" i="20"/>
  <c r="AJ7" i="20" s="1"/>
  <c r="Y93" i="20"/>
  <c r="AI93" i="20" s="1"/>
  <c r="Y77" i="20"/>
  <c r="AI77" i="20" s="1"/>
  <c r="Y61" i="20"/>
  <c r="AI61" i="20" s="1"/>
  <c r="Y53" i="20"/>
  <c r="AI53" i="20" s="1"/>
  <c r="V87" i="20"/>
  <c r="AF87" i="20" s="1"/>
  <c r="V79" i="20"/>
  <c r="AF79" i="20" s="1"/>
  <c r="V71" i="20"/>
  <c r="AF71" i="20" s="1"/>
  <c r="V63" i="20"/>
  <c r="AF63" i="20" s="1"/>
  <c r="V55" i="20"/>
  <c r="AF55" i="20" s="1"/>
  <c r="V47" i="20"/>
  <c r="AF47" i="20" s="1"/>
  <c r="V39" i="20"/>
  <c r="AF39" i="20" s="1"/>
  <c r="V31" i="20"/>
  <c r="AF31" i="20" s="1"/>
  <c r="V23" i="20"/>
  <c r="AF23" i="20" s="1"/>
  <c r="V15" i="20"/>
  <c r="AF15" i="20" s="1"/>
  <c r="V7" i="20"/>
  <c r="AF7" i="20" s="1"/>
  <c r="Y21" i="20"/>
  <c r="AI21" i="20" s="1"/>
  <c r="AG44" i="20"/>
  <c r="AG28" i="20"/>
  <c r="AG12" i="20"/>
  <c r="V90" i="20"/>
  <c r="AF90" i="20" s="1"/>
  <c r="V26" i="20"/>
  <c r="AF26" i="20" s="1"/>
  <c r="AG42" i="20"/>
  <c r="V80" i="20"/>
  <c r="AF80" i="20" s="1"/>
  <c r="V64" i="20"/>
  <c r="AF64" i="20" s="1"/>
  <c r="V48" i="20"/>
  <c r="AF48" i="20" s="1"/>
  <c r="V32" i="20"/>
  <c r="AF32" i="20" s="1"/>
  <c r="V16" i="20"/>
  <c r="AF16" i="20" s="1"/>
  <c r="Z94" i="20"/>
  <c r="AJ94" i="20" s="1"/>
  <c r="Z62" i="20"/>
  <c r="AJ62" i="20" s="1"/>
  <c r="Y84" i="20"/>
  <c r="AI84" i="20" s="1"/>
  <c r="Y76" i="20"/>
  <c r="AI76" i="20" s="1"/>
  <c r="X90" i="20"/>
  <c r="AH90" i="20" s="1"/>
  <c r="X74" i="20"/>
  <c r="AH74" i="20" s="1"/>
  <c r="V70" i="20"/>
  <c r="AF70" i="20" s="1"/>
  <c r="V66" i="20"/>
  <c r="AF66" i="20" s="1"/>
  <c r="V65" i="20"/>
  <c r="AF65" i="20" s="1"/>
  <c r="V42" i="20"/>
  <c r="AF42" i="20" s="1"/>
  <c r="V41" i="20"/>
  <c r="AF41" i="20" s="1"/>
  <c r="V34" i="20"/>
  <c r="AF34" i="20" s="1"/>
  <c r="V33" i="20"/>
  <c r="AF33" i="20" s="1"/>
  <c r="V9" i="20"/>
  <c r="AF9" i="20" s="1"/>
  <c r="V10" i="20"/>
  <c r="AF10" i="20" s="1"/>
  <c r="Z81" i="20"/>
  <c r="AJ81" i="20" s="1"/>
  <c r="Z57" i="20"/>
  <c r="AJ57" i="20" s="1"/>
  <c r="Z33" i="20"/>
  <c r="AJ33" i="20" s="1"/>
  <c r="Y71" i="20"/>
  <c r="AI71" i="20" s="1"/>
  <c r="Y47" i="20"/>
  <c r="AI47" i="20" s="1"/>
  <c r="Y23" i="20"/>
  <c r="AI23" i="20" s="1"/>
  <c r="X93" i="20"/>
  <c r="AH93" i="20" s="1"/>
  <c r="X77" i="20"/>
  <c r="AH77" i="20" s="1"/>
  <c r="X53" i="20"/>
  <c r="AH53" i="20" s="1"/>
  <c r="X29" i="20"/>
  <c r="AH29" i="20" s="1"/>
  <c r="AG91" i="20"/>
  <c r="V89" i="20"/>
  <c r="AF89" i="20" s="1"/>
  <c r="V73" i="20"/>
  <c r="AF73" i="20" s="1"/>
  <c r="V74" i="20"/>
  <c r="AF74" i="20" s="1"/>
  <c r="V50" i="20"/>
  <c r="AF50" i="20" s="1"/>
  <c r="V49" i="20"/>
  <c r="AF49" i="20" s="1"/>
  <c r="Z89" i="20"/>
  <c r="AJ89" i="20" s="1"/>
  <c r="Z73" i="20"/>
  <c r="AJ73" i="20" s="1"/>
  <c r="Z49" i="20"/>
  <c r="AJ49" i="20" s="1"/>
  <c r="Z25" i="20"/>
  <c r="AJ25" i="20" s="1"/>
  <c r="Z9" i="20"/>
  <c r="AJ9" i="20" s="1"/>
  <c r="Y63" i="20"/>
  <c r="AI63" i="20" s="1"/>
  <c r="Y39" i="20"/>
  <c r="AI39" i="20" s="1"/>
  <c r="Y15" i="20"/>
  <c r="AI15" i="20" s="1"/>
  <c r="X85" i="20"/>
  <c r="AH85" i="20" s="1"/>
  <c r="X61" i="20"/>
  <c r="AH61" i="20" s="1"/>
  <c r="X37" i="20"/>
  <c r="AH37" i="20" s="1"/>
  <c r="X13" i="20"/>
  <c r="AH13" i="20" s="1"/>
  <c r="V81" i="20"/>
  <c r="AF81" i="20" s="1"/>
  <c r="V17" i="20"/>
  <c r="AF17" i="20" s="1"/>
  <c r="Z56" i="20"/>
  <c r="AJ56" i="20" s="1"/>
  <c r="Z40" i="20"/>
  <c r="AJ40" i="20" s="1"/>
  <c r="X84" i="20"/>
  <c r="AH84" i="20" s="1"/>
  <c r="X36" i="20"/>
  <c r="AH36" i="20" s="1"/>
  <c r="X28" i="20"/>
  <c r="AH28" i="20" s="1"/>
  <c r="X12" i="20"/>
  <c r="AH12" i="20" s="1"/>
  <c r="V58" i="20"/>
  <c r="AF58" i="20" s="1"/>
  <c r="V57" i="20"/>
  <c r="AF57" i="20" s="1"/>
  <c r="Z65" i="20"/>
  <c r="AJ65" i="20" s="1"/>
  <c r="Z41" i="20"/>
  <c r="AJ41" i="20" s="1"/>
  <c r="Z17" i="20"/>
  <c r="AJ17" i="20" s="1"/>
  <c r="Y87" i="20"/>
  <c r="AI87" i="20" s="1"/>
  <c r="Y55" i="20"/>
  <c r="AI55" i="20" s="1"/>
  <c r="Y31" i="20"/>
  <c r="AI31" i="20" s="1"/>
  <c r="Y7" i="20"/>
  <c r="AI7" i="20" s="1"/>
  <c r="X69" i="20"/>
  <c r="AH69" i="20" s="1"/>
  <c r="X45" i="20"/>
  <c r="AH45" i="20" s="1"/>
  <c r="X21" i="20"/>
  <c r="AH21" i="20" s="1"/>
  <c r="X5" i="20"/>
  <c r="AH5" i="20" s="1"/>
  <c r="X4" i="20"/>
  <c r="AH4" i="20" s="1"/>
  <c r="V25" i="20"/>
  <c r="AF25" i="20" s="1"/>
  <c r="Z80" i="20"/>
  <c r="AJ80" i="20" s="1"/>
  <c r="Z64" i="20"/>
  <c r="AJ64" i="20" s="1"/>
  <c r="Z48" i="20"/>
  <c r="AJ48" i="20" s="1"/>
  <c r="Z8" i="20"/>
  <c r="AJ8" i="20" s="1"/>
  <c r="X92" i="20"/>
  <c r="AH92" i="20" s="1"/>
  <c r="X44" i="20"/>
  <c r="AH44" i="20" s="1"/>
  <c r="X20" i="20"/>
  <c r="AH20" i="20" s="1"/>
  <c r="X76" i="20"/>
  <c r="AH76" i="20" s="1"/>
  <c r="Z16" i="20"/>
  <c r="AJ16" i="20" s="1"/>
  <c r="Y78" i="20"/>
  <c r="AI78" i="20" s="1"/>
  <c r="Y46" i="20"/>
  <c r="AI46" i="20" s="1"/>
  <c r="Y22" i="20"/>
  <c r="AI22" i="20" s="1"/>
  <c r="X60" i="20"/>
  <c r="AH60" i="20" s="1"/>
  <c r="AG82" i="20"/>
  <c r="Z31" i="20"/>
  <c r="AJ31" i="20" s="1"/>
  <c r="Y29" i="20"/>
  <c r="AI29" i="20" s="1"/>
  <c r="X83" i="20"/>
  <c r="AH83" i="20" s="1"/>
  <c r="X67" i="20"/>
  <c r="AH67" i="20" s="1"/>
  <c r="X43" i="20"/>
  <c r="AH43" i="20" s="1"/>
  <c r="X27" i="20"/>
  <c r="AH27" i="20" s="1"/>
  <c r="Z78" i="20"/>
  <c r="AJ78" i="20" s="1"/>
  <c r="Z70" i="20"/>
  <c r="AJ70" i="20" s="1"/>
  <c r="Z14" i="20"/>
  <c r="AJ14" i="20" s="1"/>
  <c r="Z6" i="20"/>
  <c r="AJ6" i="20" s="1"/>
  <c r="Y60" i="20"/>
  <c r="AI60" i="20" s="1"/>
  <c r="Y52" i="20"/>
  <c r="AI52" i="20" s="1"/>
  <c r="Y44" i="20"/>
  <c r="AI44" i="20" s="1"/>
  <c r="X58" i="20"/>
  <c r="AH58" i="20" s="1"/>
  <c r="X50" i="20"/>
  <c r="AH50" i="20" s="1"/>
  <c r="X42" i="20"/>
  <c r="AH42" i="20" s="1"/>
  <c r="AG80" i="20"/>
  <c r="AG32" i="20"/>
  <c r="V94" i="20"/>
  <c r="AF94" i="20" s="1"/>
  <c r="V86" i="20"/>
  <c r="AF86" i="20" s="1"/>
  <c r="V30" i="20"/>
  <c r="AF30" i="20" s="1"/>
  <c r="V22" i="20"/>
  <c r="AF22" i="20" s="1"/>
  <c r="V14" i="20"/>
  <c r="AF14" i="20" s="1"/>
  <c r="Z24" i="20"/>
  <c r="AJ24" i="20" s="1"/>
  <c r="Y70" i="20"/>
  <c r="AI70" i="20" s="1"/>
  <c r="Y38" i="20"/>
  <c r="AI38" i="20" s="1"/>
  <c r="Y6" i="20"/>
  <c r="AI6" i="20" s="1"/>
  <c r="AG90" i="20"/>
  <c r="Z47" i="20"/>
  <c r="AJ47" i="20" s="1"/>
  <c r="V78" i="20"/>
  <c r="AF78" i="20" s="1"/>
  <c r="Y28" i="20"/>
  <c r="AI28" i="20" s="1"/>
  <c r="V5" i="20"/>
  <c r="AF5" i="20" s="1"/>
  <c r="V4" i="20"/>
  <c r="AF4" i="20" s="1"/>
  <c r="Z88" i="20"/>
  <c r="AJ88" i="20" s="1"/>
  <c r="Z32" i="20"/>
  <c r="AJ32" i="20" s="1"/>
  <c r="Y86" i="20"/>
  <c r="AI86" i="20" s="1"/>
  <c r="Y54" i="20"/>
  <c r="AI54" i="20" s="1"/>
  <c r="Y14" i="20"/>
  <c r="AI14" i="20" s="1"/>
  <c r="X68" i="20"/>
  <c r="AH68" i="20" s="1"/>
  <c r="AG89" i="20"/>
  <c r="Z39" i="20"/>
  <c r="AJ39" i="20" s="1"/>
  <c r="Y45" i="20"/>
  <c r="AI45" i="20" s="1"/>
  <c r="X91" i="20"/>
  <c r="AH91" i="20" s="1"/>
  <c r="X59" i="20"/>
  <c r="AH59" i="20" s="1"/>
  <c r="X35" i="20"/>
  <c r="AH35" i="20" s="1"/>
  <c r="X19" i="20"/>
  <c r="AH19" i="20" s="1"/>
  <c r="Y94" i="20"/>
  <c r="AI94" i="20" s="1"/>
  <c r="Y62" i="20"/>
  <c r="AI62" i="20" s="1"/>
  <c r="Y30" i="20"/>
  <c r="AI30" i="20" s="1"/>
  <c r="X52" i="20"/>
  <c r="AH52" i="20" s="1"/>
  <c r="Y37" i="20"/>
  <c r="AI37" i="20" s="1"/>
  <c r="X75" i="20"/>
  <c r="AH75" i="20" s="1"/>
  <c r="X51" i="20"/>
  <c r="AH51" i="20" s="1"/>
  <c r="X11" i="20"/>
  <c r="AH11" i="20" s="1"/>
  <c r="Y25" i="20"/>
  <c r="AI25" i="20" s="1"/>
  <c r="Y17" i="20"/>
  <c r="AI17" i="20" s="1"/>
  <c r="Y9" i="20"/>
  <c r="AI9" i="20" s="1"/>
  <c r="X63" i="20"/>
  <c r="AH63" i="20" s="1"/>
  <c r="X55" i="20"/>
  <c r="AH55" i="20" s="1"/>
  <c r="X47" i="20"/>
  <c r="AH47" i="20" s="1"/>
  <c r="AG53" i="20"/>
  <c r="AG45" i="20"/>
  <c r="AG37" i="20"/>
  <c r="AG4" i="20"/>
  <c r="V91" i="20"/>
  <c r="AF91" i="20" s="1"/>
  <c r="V35" i="20"/>
  <c r="AF35" i="20" s="1"/>
  <c r="V27" i="20"/>
  <c r="AF27" i="20" s="1"/>
  <c r="V19" i="20"/>
  <c r="AF19" i="20" s="1"/>
  <c r="AG35" i="20"/>
  <c r="AG27" i="20"/>
  <c r="J66" i="13" l="1"/>
  <c r="J67" i="13" s="1"/>
  <c r="J68" i="13" s="1"/>
  <c r="O49" i="13"/>
  <c r="I51" i="13"/>
  <c r="I50" i="13"/>
  <c r="I49" i="13"/>
  <c r="O46" i="13"/>
  <c r="N46" i="13"/>
  <c r="I48" i="13"/>
  <c r="I47" i="13"/>
  <c r="I46" i="13"/>
  <c r="O31" i="13"/>
  <c r="O28" i="13"/>
  <c r="O27" i="13"/>
  <c r="P98" i="13"/>
  <c r="Q98" i="13"/>
  <c r="N98" i="13"/>
  <c r="N45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J3" i="13"/>
  <c r="R2" i="13" s="1"/>
  <c r="I17" i="13"/>
  <c r="I16" i="13"/>
  <c r="I15" i="13"/>
  <c r="I14" i="13"/>
  <c r="I13" i="13"/>
  <c r="I12" i="13"/>
  <c r="I11" i="13"/>
  <c r="I10" i="13"/>
  <c r="I9" i="13"/>
  <c r="I8" i="13"/>
  <c r="I5" i="13"/>
  <c r="I4" i="13"/>
  <c r="I3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AR95" i="13"/>
  <c r="AR96" i="13"/>
  <c r="J70" i="13" l="1"/>
  <c r="J73" i="13" s="1"/>
  <c r="J77" i="13" s="1"/>
  <c r="J80" i="13" s="1"/>
  <c r="J4" i="13"/>
  <c r="R3" i="13" s="1"/>
  <c r="O98" i="13"/>
  <c r="Q2" i="13"/>
  <c r="Q3" i="13"/>
  <c r="Q4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4" i="13"/>
  <c r="Q25" i="13"/>
  <c r="Q26" i="13"/>
  <c r="Q27" i="13"/>
  <c r="Q33" i="13"/>
  <c r="Q34" i="13"/>
  <c r="Q3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P94" i="13"/>
  <c r="O94" i="13"/>
  <c r="N94" i="13"/>
  <c r="P93" i="13"/>
  <c r="O93" i="13"/>
  <c r="N93" i="13"/>
  <c r="P92" i="13"/>
  <c r="O92" i="13"/>
  <c r="N92" i="13"/>
  <c r="P91" i="13"/>
  <c r="O91" i="13"/>
  <c r="N91" i="13"/>
  <c r="P90" i="13"/>
  <c r="O90" i="13"/>
  <c r="N90" i="13"/>
  <c r="P89" i="13"/>
  <c r="N89" i="13"/>
  <c r="P88" i="13"/>
  <c r="O88" i="13"/>
  <c r="N88" i="13"/>
  <c r="P87" i="13"/>
  <c r="O87" i="13"/>
  <c r="N87" i="13"/>
  <c r="P86" i="13"/>
  <c r="O86" i="13"/>
  <c r="N86" i="13"/>
  <c r="P85" i="13"/>
  <c r="O85" i="13"/>
  <c r="N85" i="13"/>
  <c r="P84" i="13"/>
  <c r="O84" i="13"/>
  <c r="N84" i="13"/>
  <c r="P83" i="13"/>
  <c r="O83" i="13"/>
  <c r="N83" i="13"/>
  <c r="P82" i="13"/>
  <c r="O82" i="13"/>
  <c r="N82" i="13"/>
  <c r="P81" i="13"/>
  <c r="N81" i="13"/>
  <c r="P80" i="13"/>
  <c r="N80" i="13"/>
  <c r="P79" i="13"/>
  <c r="O79" i="13"/>
  <c r="P78" i="13"/>
  <c r="O78" i="13"/>
  <c r="N78" i="13"/>
  <c r="P77" i="13"/>
  <c r="O77" i="13"/>
  <c r="N77" i="13"/>
  <c r="P76" i="13"/>
  <c r="O76" i="13"/>
  <c r="N76" i="13"/>
  <c r="P75" i="13"/>
  <c r="O75" i="13"/>
  <c r="N75" i="13"/>
  <c r="P74" i="13"/>
  <c r="O74" i="13"/>
  <c r="P73" i="13"/>
  <c r="O73" i="13"/>
  <c r="N73" i="13"/>
  <c r="P72" i="13"/>
  <c r="P71" i="13"/>
  <c r="O71" i="13"/>
  <c r="N71" i="13"/>
  <c r="P70" i="13"/>
  <c r="N70" i="13"/>
  <c r="P69" i="13"/>
  <c r="O69" i="13"/>
  <c r="N69" i="13"/>
  <c r="P68" i="13"/>
  <c r="O68" i="13"/>
  <c r="N68" i="13"/>
  <c r="P67" i="13"/>
  <c r="N67" i="13"/>
  <c r="P66" i="13"/>
  <c r="O66" i="13"/>
  <c r="P65" i="13"/>
  <c r="O65" i="13"/>
  <c r="N65" i="13"/>
  <c r="P64" i="13"/>
  <c r="O64" i="13"/>
  <c r="N64" i="13"/>
  <c r="P63" i="13"/>
  <c r="O63" i="13"/>
  <c r="N63" i="13"/>
  <c r="P62" i="13"/>
  <c r="N62" i="13"/>
  <c r="P61" i="13"/>
  <c r="O61" i="13"/>
  <c r="N61" i="13"/>
  <c r="P60" i="13"/>
  <c r="O60" i="13"/>
  <c r="N60" i="13"/>
  <c r="P59" i="13"/>
  <c r="O59" i="13"/>
  <c r="N59" i="13"/>
  <c r="P58" i="13"/>
  <c r="O58" i="13"/>
  <c r="N58" i="13"/>
  <c r="P57" i="13"/>
  <c r="O57" i="13"/>
  <c r="N57" i="13"/>
  <c r="P56" i="13"/>
  <c r="O56" i="13"/>
  <c r="N56" i="13"/>
  <c r="P55" i="13"/>
  <c r="O55" i="13"/>
  <c r="N55" i="13"/>
  <c r="P54" i="13"/>
  <c r="O54" i="13"/>
  <c r="P53" i="13"/>
  <c r="N53" i="13"/>
  <c r="P52" i="13"/>
  <c r="O52" i="13"/>
  <c r="N52" i="13"/>
  <c r="P51" i="13"/>
  <c r="O51" i="13"/>
  <c r="N51" i="13"/>
  <c r="P50" i="13"/>
  <c r="O50" i="13"/>
  <c r="N50" i="13"/>
  <c r="P49" i="13"/>
  <c r="N49" i="13"/>
  <c r="P48" i="13"/>
  <c r="O48" i="13"/>
  <c r="N48" i="13"/>
  <c r="P47" i="13"/>
  <c r="O47" i="13"/>
  <c r="N47" i="13"/>
  <c r="P46" i="13"/>
  <c r="P45" i="13"/>
  <c r="O45" i="13"/>
  <c r="P44" i="13"/>
  <c r="O44" i="13"/>
  <c r="N44" i="13"/>
  <c r="P43" i="13"/>
  <c r="O43" i="13"/>
  <c r="N43" i="13"/>
  <c r="P42" i="13"/>
  <c r="O42" i="13"/>
  <c r="N42" i="13"/>
  <c r="P41" i="13"/>
  <c r="O41" i="13"/>
  <c r="N41" i="13"/>
  <c r="P40" i="13"/>
  <c r="O40" i="13"/>
  <c r="N40" i="13"/>
  <c r="P39" i="13"/>
  <c r="O39" i="13"/>
  <c r="N39" i="13"/>
  <c r="P38" i="13"/>
  <c r="O38" i="13"/>
  <c r="N38" i="13"/>
  <c r="P37" i="13"/>
  <c r="O37" i="13"/>
  <c r="N37" i="13"/>
  <c r="P36" i="13"/>
  <c r="O36" i="13"/>
  <c r="N36" i="13"/>
  <c r="P35" i="13"/>
  <c r="O35" i="13"/>
  <c r="N35" i="13"/>
  <c r="P34" i="13"/>
  <c r="O34" i="13"/>
  <c r="N34" i="13"/>
  <c r="P33" i="13"/>
  <c r="O33" i="13"/>
  <c r="N33" i="13"/>
  <c r="P32" i="13"/>
  <c r="O32" i="13"/>
  <c r="N32" i="13"/>
  <c r="P31" i="13"/>
  <c r="N31" i="13"/>
  <c r="P30" i="13"/>
  <c r="O30" i="13"/>
  <c r="P29" i="13"/>
  <c r="O29" i="13"/>
  <c r="N29" i="13"/>
  <c r="P28" i="13"/>
  <c r="N28" i="13"/>
  <c r="P27" i="13"/>
  <c r="N27" i="13"/>
  <c r="P26" i="13"/>
  <c r="O26" i="13"/>
  <c r="N26" i="13"/>
  <c r="P25" i="13"/>
  <c r="O25" i="13"/>
  <c r="N25" i="13"/>
  <c r="P24" i="13"/>
  <c r="O24" i="13"/>
  <c r="N24" i="13"/>
  <c r="P23" i="13"/>
  <c r="O23" i="13"/>
  <c r="N23" i="13"/>
  <c r="P22" i="13"/>
  <c r="O22" i="13"/>
  <c r="N22" i="13"/>
  <c r="P21" i="13"/>
  <c r="O21" i="13"/>
  <c r="N21" i="13"/>
  <c r="P20" i="13"/>
  <c r="O20" i="13"/>
  <c r="N20" i="13"/>
  <c r="P19" i="13"/>
  <c r="O19" i="13"/>
  <c r="N19" i="13"/>
  <c r="P18" i="13"/>
  <c r="O18" i="13"/>
  <c r="N18" i="13"/>
  <c r="P17" i="13"/>
  <c r="O17" i="13"/>
  <c r="N17" i="13"/>
  <c r="P16" i="13"/>
  <c r="O16" i="13"/>
  <c r="N16" i="13"/>
  <c r="P15" i="13"/>
  <c r="O15" i="13"/>
  <c r="N15" i="13"/>
  <c r="P14" i="13"/>
  <c r="O14" i="13"/>
  <c r="N14" i="13"/>
  <c r="P13" i="13"/>
  <c r="O13" i="13"/>
  <c r="N13" i="13"/>
  <c r="P12" i="13"/>
  <c r="O12" i="13"/>
  <c r="N12" i="13"/>
  <c r="P11" i="13"/>
  <c r="O11" i="13"/>
  <c r="N11" i="13"/>
  <c r="P10" i="13"/>
  <c r="O10" i="13"/>
  <c r="N10" i="13"/>
  <c r="P9" i="13"/>
  <c r="O9" i="13"/>
  <c r="N9" i="13"/>
  <c r="P8" i="13"/>
  <c r="O8" i="13"/>
  <c r="N8" i="13"/>
  <c r="P7" i="13"/>
  <c r="O7" i="13"/>
  <c r="N7" i="13"/>
  <c r="P6" i="13"/>
  <c r="O6" i="13"/>
  <c r="N6" i="13"/>
  <c r="P5" i="13"/>
  <c r="O5" i="13"/>
  <c r="N5" i="13"/>
  <c r="P4" i="13"/>
  <c r="O4" i="13"/>
  <c r="N4" i="13"/>
  <c r="P3" i="13"/>
  <c r="O3" i="13"/>
  <c r="N3" i="13"/>
  <c r="P2" i="13"/>
  <c r="O2" i="13"/>
  <c r="N2" i="13"/>
  <c r="G24" i="13"/>
  <c r="I18" i="13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6" i="13"/>
  <c r="I7" i="13" s="1"/>
  <c r="Q7" i="13" s="1"/>
  <c r="G6" i="30"/>
  <c r="G8" i="30"/>
  <c r="R8" i="30"/>
  <c r="J5" i="13" l="1"/>
  <c r="J6" i="13" s="1"/>
  <c r="J7" i="13" s="1"/>
  <c r="R6" i="13" s="1"/>
  <c r="W6" i="13" s="1"/>
  <c r="AQ6" i="13" s="1"/>
  <c r="Q39" i="13"/>
  <c r="V39" i="13" s="1"/>
  <c r="AP39" i="13" s="1"/>
  <c r="I41" i="13"/>
  <c r="I42" i="13" s="1"/>
  <c r="Q31" i="13"/>
  <c r="V31" i="13" s="1"/>
  <c r="Q23" i="13"/>
  <c r="Q32" i="13"/>
  <c r="Q38" i="13"/>
  <c r="Q30" i="13"/>
  <c r="Q22" i="13"/>
  <c r="V22" i="13" s="1"/>
  <c r="Q37" i="13"/>
  <c r="V37" i="13" s="1"/>
  <c r="Q29" i="13"/>
  <c r="V29" i="13" s="1"/>
  <c r="Q21" i="13"/>
  <c r="V21" i="13" s="1"/>
  <c r="AP21" i="13" s="1"/>
  <c r="Q36" i="13"/>
  <c r="Q28" i="13"/>
  <c r="Q20" i="13"/>
  <c r="Q5" i="13"/>
  <c r="Q6" i="13"/>
  <c r="N95" i="13"/>
  <c r="N96" i="13"/>
  <c r="S96" i="13" s="1"/>
  <c r="S95" i="13"/>
  <c r="AM95" i="13" s="1"/>
  <c r="T95" i="13"/>
  <c r="Y95" i="13" s="1"/>
  <c r="T96" i="13"/>
  <c r="Y96" i="13" s="1"/>
  <c r="U95" i="13"/>
  <c r="Z95" i="13" s="1"/>
  <c r="U96" i="13"/>
  <c r="V95" i="13"/>
  <c r="AP95" i="13" s="1"/>
  <c r="V96" i="13"/>
  <c r="W95" i="13"/>
  <c r="AQ95" i="13" s="1"/>
  <c r="W96" i="13"/>
  <c r="AQ96" i="13" s="1"/>
  <c r="X95" i="13"/>
  <c r="Z96" i="13"/>
  <c r="AA96" i="13"/>
  <c r="AB95" i="13"/>
  <c r="AB96" i="13"/>
  <c r="AO95" i="13"/>
  <c r="AO96" i="13"/>
  <c r="AP96" i="13"/>
  <c r="AU95" i="13"/>
  <c r="AU96" i="13"/>
  <c r="AT96" i="13"/>
  <c r="AT95" i="13"/>
  <c r="AQ97" i="13"/>
  <c r="AP97" i="13"/>
  <c r="AO97" i="13"/>
  <c r="AN97" i="13"/>
  <c r="AM97" i="13"/>
  <c r="Y7" i="13"/>
  <c r="W83" i="13"/>
  <c r="AQ83" i="13" s="1"/>
  <c r="W84" i="13"/>
  <c r="AQ84" i="13" s="1"/>
  <c r="W85" i="13"/>
  <c r="W86" i="13"/>
  <c r="W87" i="13"/>
  <c r="AQ87" i="13" s="1"/>
  <c r="W88" i="13"/>
  <c r="W89" i="13"/>
  <c r="W90" i="13"/>
  <c r="AQ90" i="13" s="1"/>
  <c r="W91" i="13"/>
  <c r="AQ91" i="13" s="1"/>
  <c r="W92" i="13"/>
  <c r="W93" i="13"/>
  <c r="AQ93" i="13" s="1"/>
  <c r="AR93" i="13" s="1"/>
  <c r="W94" i="13"/>
  <c r="V8" i="13"/>
  <c r="AP8" i="13" s="1"/>
  <c r="V14" i="13"/>
  <c r="V16" i="13"/>
  <c r="AP16" i="13" s="1"/>
  <c r="V30" i="13"/>
  <c r="V36" i="13"/>
  <c r="AP36" i="13" s="1"/>
  <c r="V38" i="13"/>
  <c r="V46" i="13"/>
  <c r="V47" i="13"/>
  <c r="AP47" i="13" s="1"/>
  <c r="V48" i="13"/>
  <c r="AP48" i="13" s="1"/>
  <c r="V49" i="13"/>
  <c r="AP49" i="13" s="1"/>
  <c r="V50" i="13"/>
  <c r="V51" i="13"/>
  <c r="AP51" i="13" s="1"/>
  <c r="V52" i="13"/>
  <c r="V53" i="13"/>
  <c r="V54" i="13"/>
  <c r="AP54" i="13" s="1"/>
  <c r="V55" i="13"/>
  <c r="AP55" i="13" s="1"/>
  <c r="V56" i="13"/>
  <c r="AP56" i="13" s="1"/>
  <c r="V57" i="13"/>
  <c r="V58" i="13"/>
  <c r="V59" i="13"/>
  <c r="V60" i="13"/>
  <c r="AP60" i="13" s="1"/>
  <c r="V61" i="13"/>
  <c r="V62" i="13"/>
  <c r="V63" i="13"/>
  <c r="AP63" i="13" s="1"/>
  <c r="V64" i="13"/>
  <c r="V65" i="13"/>
  <c r="AP65" i="13" s="1"/>
  <c r="V66" i="13"/>
  <c r="V67" i="13"/>
  <c r="V68" i="13"/>
  <c r="AP68" i="13" s="1"/>
  <c r="V69" i="13"/>
  <c r="V70" i="13"/>
  <c r="AP70" i="13" s="1"/>
  <c r="V71" i="13"/>
  <c r="AP71" i="13" s="1"/>
  <c r="V72" i="13"/>
  <c r="AP72" i="13" s="1"/>
  <c r="V73" i="13"/>
  <c r="AP73" i="13" s="1"/>
  <c r="V74" i="13"/>
  <c r="V75" i="13"/>
  <c r="V76" i="13"/>
  <c r="V77" i="13"/>
  <c r="V78" i="13"/>
  <c r="AP78" i="13" s="1"/>
  <c r="V79" i="13"/>
  <c r="AP79" i="13" s="1"/>
  <c r="V80" i="13"/>
  <c r="V81" i="13"/>
  <c r="AP81" i="13" s="1"/>
  <c r="V82" i="13"/>
  <c r="V83" i="13"/>
  <c r="V84" i="13"/>
  <c r="V85" i="13"/>
  <c r="V86" i="13"/>
  <c r="AP86" i="13" s="1"/>
  <c r="V87" i="13"/>
  <c r="AP87" i="13" s="1"/>
  <c r="V88" i="13"/>
  <c r="AP88" i="13" s="1"/>
  <c r="V89" i="13"/>
  <c r="AP89" i="13" s="1"/>
  <c r="V90" i="13"/>
  <c r="V91" i="13"/>
  <c r="V92" i="13"/>
  <c r="AP92" i="13" s="1"/>
  <c r="V93" i="13"/>
  <c r="V94" i="13"/>
  <c r="AP94" i="13" s="1"/>
  <c r="U94" i="13"/>
  <c r="AO94" i="13" s="1"/>
  <c r="T94" i="13"/>
  <c r="AN94" i="13" s="1"/>
  <c r="U93" i="13"/>
  <c r="T93" i="13"/>
  <c r="U92" i="13"/>
  <c r="AO92" i="13" s="1"/>
  <c r="T92" i="13"/>
  <c r="U91" i="13"/>
  <c r="AO91" i="13" s="1"/>
  <c r="T91" i="13"/>
  <c r="AN91" i="13" s="1"/>
  <c r="U90" i="13"/>
  <c r="T90" i="13"/>
  <c r="U89" i="13"/>
  <c r="AO89" i="13" s="1"/>
  <c r="T89" i="13"/>
  <c r="AN89" i="13" s="1"/>
  <c r="U88" i="13"/>
  <c r="T88" i="13"/>
  <c r="U87" i="13"/>
  <c r="T87" i="13"/>
  <c r="U86" i="13"/>
  <c r="AO86" i="13" s="1"/>
  <c r="T86" i="13"/>
  <c r="AN86" i="13" s="1"/>
  <c r="U85" i="13"/>
  <c r="T85" i="13"/>
  <c r="U84" i="13"/>
  <c r="AO84" i="13" s="1"/>
  <c r="T84" i="13"/>
  <c r="AN84" i="13" s="1"/>
  <c r="U83" i="13"/>
  <c r="AO83" i="13" s="1"/>
  <c r="T83" i="13"/>
  <c r="U82" i="13"/>
  <c r="T82" i="13"/>
  <c r="U81" i="13"/>
  <c r="AO81" i="13" s="1"/>
  <c r="T81" i="13"/>
  <c r="AN81" i="13" s="1"/>
  <c r="U80" i="13"/>
  <c r="T80" i="13"/>
  <c r="U79" i="13"/>
  <c r="T79" i="13"/>
  <c r="U78" i="13"/>
  <c r="AO78" i="13" s="1"/>
  <c r="T78" i="13"/>
  <c r="U77" i="13"/>
  <c r="T77" i="13"/>
  <c r="U76" i="13"/>
  <c r="AO76" i="13" s="1"/>
  <c r="T76" i="13"/>
  <c r="AN76" i="13" s="1"/>
  <c r="U75" i="13"/>
  <c r="T75" i="13"/>
  <c r="AN75" i="13" s="1"/>
  <c r="U74" i="13"/>
  <c r="T74" i="13"/>
  <c r="U73" i="13"/>
  <c r="AO73" i="13" s="1"/>
  <c r="T73" i="13"/>
  <c r="U72" i="13"/>
  <c r="T72" i="13"/>
  <c r="U71" i="13"/>
  <c r="T71" i="13"/>
  <c r="U70" i="13"/>
  <c r="T70" i="13"/>
  <c r="U69" i="13"/>
  <c r="T69" i="13"/>
  <c r="U68" i="13"/>
  <c r="AO68" i="13" s="1"/>
  <c r="T68" i="13"/>
  <c r="AN68" i="13" s="1"/>
  <c r="U67" i="13"/>
  <c r="AO67" i="13" s="1"/>
  <c r="T67" i="13"/>
  <c r="U66" i="13"/>
  <c r="T66" i="13"/>
  <c r="U65" i="13"/>
  <c r="T65" i="13"/>
  <c r="AN65" i="13" s="1"/>
  <c r="U64" i="13"/>
  <c r="T64" i="13"/>
  <c r="AN64" i="13" s="1"/>
  <c r="U63" i="13"/>
  <c r="T63" i="13"/>
  <c r="U62" i="13"/>
  <c r="AO62" i="13" s="1"/>
  <c r="T62" i="13"/>
  <c r="AN62" i="13" s="1"/>
  <c r="U61" i="13"/>
  <c r="T61" i="13"/>
  <c r="S61" i="13"/>
  <c r="AM61" i="13" s="1"/>
  <c r="U60" i="13"/>
  <c r="T60" i="13"/>
  <c r="U59" i="13"/>
  <c r="T59" i="13"/>
  <c r="AN59" i="13" s="1"/>
  <c r="U58" i="13"/>
  <c r="T58" i="13"/>
  <c r="U57" i="13"/>
  <c r="AO57" i="13" s="1"/>
  <c r="T57" i="13"/>
  <c r="U56" i="13"/>
  <c r="T56" i="13"/>
  <c r="U55" i="13"/>
  <c r="T55" i="13"/>
  <c r="U54" i="13"/>
  <c r="T54" i="13"/>
  <c r="Y54" i="13" s="1"/>
  <c r="U53" i="13"/>
  <c r="T53" i="13"/>
  <c r="AN53" i="13" s="1"/>
  <c r="U52" i="13"/>
  <c r="AO52" i="13" s="1"/>
  <c r="T52" i="13"/>
  <c r="AN52" i="13" s="1"/>
  <c r="U51" i="13"/>
  <c r="T51" i="13"/>
  <c r="AN51" i="13" s="1"/>
  <c r="U50" i="13"/>
  <c r="AO50" i="13" s="1"/>
  <c r="T50" i="13"/>
  <c r="U49" i="13"/>
  <c r="Z49" i="13" s="1"/>
  <c r="T49" i="13"/>
  <c r="AN49" i="13" s="1"/>
  <c r="U48" i="13"/>
  <c r="AO48" i="13" s="1"/>
  <c r="T48" i="13"/>
  <c r="U47" i="13"/>
  <c r="T47" i="13"/>
  <c r="AN47" i="13" s="1"/>
  <c r="U46" i="13"/>
  <c r="AO46" i="13" s="1"/>
  <c r="T46" i="13"/>
  <c r="U45" i="13"/>
  <c r="T45" i="13"/>
  <c r="AN45" i="13" s="1"/>
  <c r="U44" i="13"/>
  <c r="AO44" i="13" s="1"/>
  <c r="T44" i="13"/>
  <c r="U43" i="13"/>
  <c r="T43" i="13"/>
  <c r="AN43" i="13" s="1"/>
  <c r="U42" i="13"/>
  <c r="AO42" i="13" s="1"/>
  <c r="T42" i="13"/>
  <c r="U41" i="13"/>
  <c r="AO41" i="13" s="1"/>
  <c r="T41" i="13"/>
  <c r="AN41" i="13" s="1"/>
  <c r="U40" i="13"/>
  <c r="AO40" i="13" s="1"/>
  <c r="T40" i="13"/>
  <c r="U39" i="13"/>
  <c r="T39" i="13"/>
  <c r="AN39" i="13" s="1"/>
  <c r="U38" i="13"/>
  <c r="AO38" i="13" s="1"/>
  <c r="T38" i="13"/>
  <c r="T26" i="13"/>
  <c r="U19" i="13"/>
  <c r="S17" i="13"/>
  <c r="S16" i="13"/>
  <c r="AM16" i="13" s="1"/>
  <c r="S8" i="13"/>
  <c r="AM8" i="13" s="1"/>
  <c r="S4" i="13"/>
  <c r="AM4" i="13" s="1"/>
  <c r="U3" i="13"/>
  <c r="U24" i="13"/>
  <c r="AO24" i="13" s="1"/>
  <c r="S2" i="13"/>
  <c r="S3" i="13"/>
  <c r="S5" i="13"/>
  <c r="S6" i="13"/>
  <c r="X6" i="13" s="1"/>
  <c r="S7" i="13"/>
  <c r="S9" i="13"/>
  <c r="S10" i="13"/>
  <c r="S11" i="13"/>
  <c r="S12" i="13"/>
  <c r="S13" i="13"/>
  <c r="S14" i="13"/>
  <c r="S15" i="13"/>
  <c r="S18" i="13"/>
  <c r="AM18" i="13" s="1"/>
  <c r="S19" i="13"/>
  <c r="S20" i="13"/>
  <c r="AM20" i="13" s="1"/>
  <c r="S21" i="13"/>
  <c r="S22" i="13"/>
  <c r="AM22" i="13" s="1"/>
  <c r="S23" i="13"/>
  <c r="S24" i="13"/>
  <c r="S25" i="13"/>
  <c r="S26" i="13"/>
  <c r="AM26" i="13" s="1"/>
  <c r="S27" i="13"/>
  <c r="S28" i="13"/>
  <c r="AM28" i="13" s="1"/>
  <c r="S29" i="13"/>
  <c r="S30" i="13"/>
  <c r="AM30" i="13" s="1"/>
  <c r="S31" i="13"/>
  <c r="S32" i="13"/>
  <c r="S33" i="13"/>
  <c r="S34" i="13"/>
  <c r="S35" i="13"/>
  <c r="S36" i="13"/>
  <c r="S37" i="13"/>
  <c r="S38" i="13"/>
  <c r="S39" i="13"/>
  <c r="S40" i="13"/>
  <c r="S41" i="13"/>
  <c r="S42" i="13"/>
  <c r="S43" i="13"/>
  <c r="S44" i="13"/>
  <c r="S45" i="13"/>
  <c r="S46" i="13"/>
  <c r="S47" i="13"/>
  <c r="S48" i="13"/>
  <c r="S49" i="13"/>
  <c r="S50" i="13"/>
  <c r="AM50" i="13" s="1"/>
  <c r="S51" i="13"/>
  <c r="S52" i="13"/>
  <c r="AM52" i="13" s="1"/>
  <c r="S53" i="13"/>
  <c r="S54" i="13"/>
  <c r="S55" i="13"/>
  <c r="S56" i="13"/>
  <c r="S57" i="13"/>
  <c r="S58" i="13"/>
  <c r="S59" i="13"/>
  <c r="AM59" i="13" s="1"/>
  <c r="S60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AM77" i="13" s="1"/>
  <c r="S78" i="13"/>
  <c r="S79" i="13"/>
  <c r="S80" i="13"/>
  <c r="S81" i="13"/>
  <c r="S82" i="13"/>
  <c r="S83" i="13"/>
  <c r="S84" i="13"/>
  <c r="S85" i="13"/>
  <c r="S86" i="13"/>
  <c r="S87" i="13"/>
  <c r="S88" i="13"/>
  <c r="S89" i="13"/>
  <c r="S90" i="13"/>
  <c r="S91" i="13"/>
  <c r="S92" i="13"/>
  <c r="S93" i="13"/>
  <c r="S94" i="13"/>
  <c r="T22" i="13"/>
  <c r="T18" i="13"/>
  <c r="T17" i="13"/>
  <c r="AN17" i="13" s="1"/>
  <c r="T3" i="13"/>
  <c r="V3" i="13"/>
  <c r="W3" i="13"/>
  <c r="T4" i="13"/>
  <c r="U4" i="13"/>
  <c r="AO4" i="13" s="1"/>
  <c r="V4" i="13"/>
  <c r="AP4" i="13" s="1"/>
  <c r="T5" i="13"/>
  <c r="AN5" i="13" s="1"/>
  <c r="U5" i="13"/>
  <c r="V5" i="13"/>
  <c r="T6" i="13"/>
  <c r="U6" i="13"/>
  <c r="V6" i="13"/>
  <c r="T7" i="13"/>
  <c r="AN7" i="13" s="1"/>
  <c r="U7" i="13"/>
  <c r="V7" i="13"/>
  <c r="T8" i="13"/>
  <c r="U8" i="13"/>
  <c r="T9" i="13"/>
  <c r="Y9" i="13" s="1"/>
  <c r="U9" i="13"/>
  <c r="V9" i="13"/>
  <c r="T10" i="13"/>
  <c r="U10" i="13"/>
  <c r="V10" i="13"/>
  <c r="T11" i="13"/>
  <c r="U11" i="13"/>
  <c r="V11" i="13"/>
  <c r="AP11" i="13" s="1"/>
  <c r="T12" i="13"/>
  <c r="U12" i="13"/>
  <c r="AO12" i="13" s="1"/>
  <c r="V12" i="13"/>
  <c r="T13" i="13"/>
  <c r="AN13" i="13" s="1"/>
  <c r="U13" i="13"/>
  <c r="V13" i="13"/>
  <c r="AP13" i="13" s="1"/>
  <c r="T14" i="13"/>
  <c r="U14" i="13"/>
  <c r="T15" i="13"/>
  <c r="AN15" i="13" s="1"/>
  <c r="U15" i="13"/>
  <c r="V15" i="13"/>
  <c r="AP15" i="13" s="1"/>
  <c r="T16" i="13"/>
  <c r="U16" i="13"/>
  <c r="U17" i="13"/>
  <c r="V17" i="13"/>
  <c r="U18" i="13"/>
  <c r="V18" i="13"/>
  <c r="T19" i="13"/>
  <c r="AN19" i="13" s="1"/>
  <c r="V19" i="13"/>
  <c r="AP19" i="13" s="1"/>
  <c r="T20" i="13"/>
  <c r="U20" i="13"/>
  <c r="V20" i="13"/>
  <c r="T21" i="13"/>
  <c r="U21" i="13"/>
  <c r="U22" i="13"/>
  <c r="T23" i="13"/>
  <c r="U23" i="13"/>
  <c r="V23" i="13"/>
  <c r="AP23" i="13" s="1"/>
  <c r="T24" i="13"/>
  <c r="V24" i="13"/>
  <c r="AP24" i="13" s="1"/>
  <c r="T25" i="13"/>
  <c r="U25" i="13"/>
  <c r="V25" i="13"/>
  <c r="U26" i="13"/>
  <c r="AO26" i="13" s="1"/>
  <c r="V26" i="13"/>
  <c r="T27" i="13"/>
  <c r="U27" i="13"/>
  <c r="V27" i="13"/>
  <c r="T28" i="13"/>
  <c r="U28" i="13"/>
  <c r="AO28" i="13" s="1"/>
  <c r="V28" i="13"/>
  <c r="T29" i="13"/>
  <c r="U29" i="13"/>
  <c r="T30" i="13"/>
  <c r="AN30" i="13" s="1"/>
  <c r="U30" i="13"/>
  <c r="T31" i="13"/>
  <c r="U31" i="13"/>
  <c r="T32" i="13"/>
  <c r="U32" i="13"/>
  <c r="AO32" i="13" s="1"/>
  <c r="V32" i="13"/>
  <c r="AP32" i="13" s="1"/>
  <c r="T33" i="13"/>
  <c r="U33" i="13"/>
  <c r="V33" i="13"/>
  <c r="T34" i="13"/>
  <c r="U34" i="13"/>
  <c r="AO34" i="13" s="1"/>
  <c r="V34" i="13"/>
  <c r="T35" i="13"/>
  <c r="U35" i="13"/>
  <c r="V35" i="13"/>
  <c r="T36" i="13"/>
  <c r="U36" i="13"/>
  <c r="AO36" i="13" s="1"/>
  <c r="T37" i="13"/>
  <c r="AN37" i="13" s="1"/>
  <c r="U37" i="13"/>
  <c r="T2" i="13"/>
  <c r="U2" i="13"/>
  <c r="AO2" i="13" s="1"/>
  <c r="V2" i="13"/>
  <c r="W2" i="13"/>
  <c r="AQ2" i="13" s="1"/>
  <c r="X20" i="13"/>
  <c r="Z24" i="13"/>
  <c r="AU27" i="13"/>
  <c r="AU28" i="13"/>
  <c r="AU29" i="13"/>
  <c r="AU30" i="13"/>
  <c r="AU31" i="13"/>
  <c r="AU32" i="13"/>
  <c r="AU34" i="13"/>
  <c r="AU35" i="13"/>
  <c r="AU36" i="13"/>
  <c r="AU37" i="13"/>
  <c r="Z40" i="13"/>
  <c r="AU43" i="13"/>
  <c r="AU45" i="13"/>
  <c r="AU51" i="13"/>
  <c r="AU53" i="13"/>
  <c r="AU54" i="13"/>
  <c r="AU56" i="13"/>
  <c r="AU57" i="13"/>
  <c r="AU60" i="13"/>
  <c r="AU61" i="13"/>
  <c r="AU62" i="13"/>
  <c r="AU63" i="13"/>
  <c r="AU64" i="13"/>
  <c r="AU66" i="13"/>
  <c r="AU67" i="13"/>
  <c r="Z68" i="13"/>
  <c r="AU69" i="13"/>
  <c r="AU70" i="13"/>
  <c r="AU71" i="13"/>
  <c r="AU72" i="13"/>
  <c r="AU73" i="13"/>
  <c r="AU74" i="13"/>
  <c r="AU75" i="13"/>
  <c r="AU76" i="13"/>
  <c r="AU77" i="13"/>
  <c r="AU78" i="13"/>
  <c r="AU80" i="13"/>
  <c r="AU82" i="13"/>
  <c r="AU83" i="13"/>
  <c r="AU84" i="13"/>
  <c r="AU85" i="13"/>
  <c r="AU86" i="13"/>
  <c r="AA87" i="13"/>
  <c r="AU88" i="13"/>
  <c r="AU89" i="13"/>
  <c r="AU90" i="13"/>
  <c r="AU91" i="13"/>
  <c r="AU92" i="13"/>
  <c r="AU93" i="13"/>
  <c r="AU94" i="13"/>
  <c r="A3" i="13"/>
  <c r="A4" i="13" s="1"/>
  <c r="C86" i="27"/>
  <c r="B86" i="27"/>
  <c r="D86" i="27" s="1"/>
  <c r="E86" i="27" s="1"/>
  <c r="S54" i="27"/>
  <c r="R54" i="27"/>
  <c r="Q54" i="27"/>
  <c r="S53" i="27"/>
  <c r="R53" i="27"/>
  <c r="Q53" i="27"/>
  <c r="S52" i="27"/>
  <c r="R52" i="27"/>
  <c r="Q52" i="27"/>
  <c r="S43" i="27"/>
  <c r="R43" i="27"/>
  <c r="Q43" i="27"/>
  <c r="S42" i="27"/>
  <c r="R42" i="27"/>
  <c r="Q42" i="27"/>
  <c r="S41" i="27"/>
  <c r="R41" i="27"/>
  <c r="Q41" i="27"/>
  <c r="T31" i="27"/>
  <c r="S31" i="27"/>
  <c r="R31" i="27"/>
  <c r="Q31" i="27"/>
  <c r="T30" i="27"/>
  <c r="S30" i="27"/>
  <c r="R30" i="27"/>
  <c r="Q30" i="27"/>
  <c r="T29" i="27"/>
  <c r="S29" i="27"/>
  <c r="R29" i="27"/>
  <c r="Q29" i="27"/>
  <c r="T19" i="27"/>
  <c r="S19" i="27"/>
  <c r="R19" i="27"/>
  <c r="Q19" i="27"/>
  <c r="T18" i="27"/>
  <c r="S18" i="27"/>
  <c r="R18" i="27"/>
  <c r="Q18" i="27"/>
  <c r="T17" i="27"/>
  <c r="S17" i="27"/>
  <c r="R17" i="27"/>
  <c r="Q17" i="27"/>
  <c r="T8" i="27"/>
  <c r="S8" i="27"/>
  <c r="R8" i="27"/>
  <c r="Q8" i="27"/>
  <c r="T7" i="27"/>
  <c r="S7" i="27"/>
  <c r="R7" i="27"/>
  <c r="Q7" i="27"/>
  <c r="T6" i="27"/>
  <c r="S6" i="27"/>
  <c r="R6" i="27"/>
  <c r="Q6" i="27"/>
  <c r="AU49" i="13"/>
  <c r="AU55" i="13"/>
  <c r="AU65" i="13"/>
  <c r="AU79" i="13"/>
  <c r="AU81" i="13"/>
  <c r="AU38" i="13"/>
  <c r="AU39" i="13"/>
  <c r="AU40" i="13"/>
  <c r="AU41" i="13"/>
  <c r="AU33" i="13"/>
  <c r="R5" i="13" l="1"/>
  <c r="W5" i="13" s="1"/>
  <c r="R4" i="13"/>
  <c r="W4" i="13" s="1"/>
  <c r="J8" i="13"/>
  <c r="R7" i="13" s="1"/>
  <c r="W7" i="13" s="1"/>
  <c r="AA65" i="13"/>
  <c r="AA81" i="13"/>
  <c r="Y49" i="13"/>
  <c r="Q40" i="13"/>
  <c r="V40" i="13" s="1"/>
  <c r="AP40" i="13" s="1"/>
  <c r="I43" i="13"/>
  <c r="Q42" i="13"/>
  <c r="V42" i="13" s="1"/>
  <c r="AA42" i="13" s="1"/>
  <c r="Q41" i="13"/>
  <c r="V41" i="13" s="1"/>
  <c r="AP41" i="13" s="1"/>
  <c r="AA39" i="13"/>
  <c r="Y81" i="13"/>
  <c r="AA95" i="13"/>
  <c r="AA11" i="13"/>
  <c r="Y47" i="13"/>
  <c r="AO49" i="13"/>
  <c r="Y39" i="13"/>
  <c r="AN54" i="13"/>
  <c r="Y41" i="13"/>
  <c r="AA55" i="13"/>
  <c r="Z42" i="13"/>
  <c r="AA56" i="13"/>
  <c r="AU87" i="13"/>
  <c r="AU47" i="13"/>
  <c r="Z22" i="13"/>
  <c r="Z65" i="13"/>
  <c r="Z73" i="13"/>
  <c r="Y13" i="13"/>
  <c r="Y45" i="13"/>
  <c r="AA70" i="13"/>
  <c r="AN9" i="13"/>
  <c r="Z81" i="13"/>
  <c r="Y15" i="13"/>
  <c r="AA71" i="13"/>
  <c r="AT93" i="13"/>
  <c r="AA21" i="13"/>
  <c r="Y86" i="13"/>
  <c r="AB2" i="13"/>
  <c r="AA23" i="13"/>
  <c r="AA47" i="13"/>
  <c r="X2" i="13"/>
  <c r="Y94" i="13"/>
  <c r="Y5" i="13"/>
  <c r="Y37" i="13"/>
  <c r="X4" i="13"/>
  <c r="Z8" i="13"/>
  <c r="Z41" i="13"/>
  <c r="AB87" i="13"/>
  <c r="AB6" i="13"/>
  <c r="AM2" i="13"/>
  <c r="AP18" i="13"/>
  <c r="AA18" i="13"/>
  <c r="Y4" i="13"/>
  <c r="AN4" i="13"/>
  <c r="AM69" i="13"/>
  <c r="X69" i="13"/>
  <c r="AM29" i="13"/>
  <c r="X29" i="13"/>
  <c r="AO15" i="13"/>
  <c r="Z15" i="13"/>
  <c r="AO13" i="13"/>
  <c r="Z13" i="13"/>
  <c r="AO11" i="13"/>
  <c r="Z11" i="13"/>
  <c r="Z9" i="13"/>
  <c r="AO9" i="13"/>
  <c r="AO5" i="13"/>
  <c r="Z5" i="13"/>
  <c r="X91" i="13"/>
  <c r="AM91" i="13"/>
  <c r="X75" i="13"/>
  <c r="AM75" i="13"/>
  <c r="X67" i="13"/>
  <c r="AM67" i="13"/>
  <c r="X59" i="13"/>
  <c r="X43" i="13"/>
  <c r="AM43" i="13"/>
  <c r="X27" i="13"/>
  <c r="AM27" i="13"/>
  <c r="X19" i="13"/>
  <c r="AM19" i="13"/>
  <c r="X11" i="13"/>
  <c r="AM11" i="13"/>
  <c r="Y14" i="13"/>
  <c r="AN14" i="13"/>
  <c r="Y6" i="13"/>
  <c r="AN6" i="13"/>
  <c r="AM53" i="13"/>
  <c r="X53" i="13"/>
  <c r="AM21" i="13"/>
  <c r="X21" i="13"/>
  <c r="AN24" i="13"/>
  <c r="Y24" i="13"/>
  <c r="AA20" i="13"/>
  <c r="AP20" i="13"/>
  <c r="AN8" i="13"/>
  <c r="Y8" i="13"/>
  <c r="AM85" i="13"/>
  <c r="X85" i="13"/>
  <c r="AO21" i="13"/>
  <c r="Z21" i="13"/>
  <c r="AN16" i="13"/>
  <c r="Y16" i="13"/>
  <c r="AN10" i="13"/>
  <c r="Y10" i="13"/>
  <c r="AO37" i="13"/>
  <c r="Z37" i="13"/>
  <c r="Z31" i="13"/>
  <c r="AO31" i="13"/>
  <c r="AO29" i="13"/>
  <c r="Z29" i="13"/>
  <c r="AO27" i="13"/>
  <c r="Z27" i="13"/>
  <c r="Z25" i="13"/>
  <c r="AO25" i="13"/>
  <c r="Y22" i="13"/>
  <c r="AN22" i="13"/>
  <c r="AM31" i="13"/>
  <c r="X31" i="13"/>
  <c r="AM23" i="13"/>
  <c r="X23" i="13"/>
  <c r="AM15" i="13"/>
  <c r="X15" i="13"/>
  <c r="AM7" i="13"/>
  <c r="X7" i="13"/>
  <c r="AU52" i="13"/>
  <c r="Z52" i="13"/>
  <c r="Z33" i="13"/>
  <c r="AO33" i="13"/>
  <c r="AN23" i="13"/>
  <c r="Y23" i="13"/>
  <c r="AO14" i="13"/>
  <c r="Z14" i="13"/>
  <c r="AM71" i="13"/>
  <c r="X71" i="13"/>
  <c r="AM39" i="13"/>
  <c r="X39" i="13"/>
  <c r="AO85" i="13"/>
  <c r="Z85" i="13"/>
  <c r="Z28" i="13"/>
  <c r="AN33" i="13"/>
  <c r="Y33" i="13"/>
  <c r="AN25" i="13"/>
  <c r="Y25" i="13"/>
  <c r="X70" i="13"/>
  <c r="AM70" i="13"/>
  <c r="AM46" i="13"/>
  <c r="X46" i="13"/>
  <c r="AN28" i="13"/>
  <c r="Y28" i="13"/>
  <c r="AA58" i="13"/>
  <c r="AP58" i="13"/>
  <c r="AU58" i="13"/>
  <c r="AP22" i="13"/>
  <c r="AA22" i="13"/>
  <c r="AO20" i="13"/>
  <c r="Z20" i="13"/>
  <c r="AO18" i="13"/>
  <c r="Z18" i="13"/>
  <c r="AQ5" i="13"/>
  <c r="AB5" i="13"/>
  <c r="AQ3" i="13"/>
  <c r="AB3" i="13"/>
  <c r="AN18" i="13"/>
  <c r="Y18" i="13"/>
  <c r="Z23" i="13"/>
  <c r="AO23" i="13"/>
  <c r="Y36" i="13"/>
  <c r="Y44" i="13"/>
  <c r="AO47" i="13"/>
  <c r="Z47" i="13"/>
  <c r="AO61" i="13"/>
  <c r="Z61" i="13"/>
  <c r="Z79" i="13"/>
  <c r="AO79" i="13"/>
  <c r="AO93" i="13"/>
  <c r="Z93" i="13"/>
  <c r="AA28" i="13"/>
  <c r="AA10" i="13"/>
  <c r="AP10" i="13"/>
  <c r="AA13" i="13"/>
  <c r="X22" i="13"/>
  <c r="AB84" i="13"/>
  <c r="AM6" i="13"/>
  <c r="AO35" i="13"/>
  <c r="Z35" i="13"/>
  <c r="AO10" i="13"/>
  <c r="Z10" i="13"/>
  <c r="AM63" i="13"/>
  <c r="X63" i="13"/>
  <c r="AM3" i="13"/>
  <c r="X3" i="13"/>
  <c r="AO53" i="13"/>
  <c r="Z53" i="13"/>
  <c r="AM93" i="13"/>
  <c r="X93" i="13"/>
  <c r="AN29" i="13"/>
  <c r="Y29" i="13"/>
  <c r="X86" i="13"/>
  <c r="AM86" i="13"/>
  <c r="AM38" i="13"/>
  <c r="X38" i="13"/>
  <c r="AO3" i="13"/>
  <c r="Z3" i="13"/>
  <c r="X35" i="13"/>
  <c r="AN72" i="13"/>
  <c r="Y72" i="13"/>
  <c r="AN90" i="13"/>
  <c r="Y90" i="13"/>
  <c r="AA74" i="13"/>
  <c r="AP74" i="13"/>
  <c r="AP12" i="13"/>
  <c r="AA12" i="13"/>
  <c r="X30" i="13"/>
  <c r="AU50" i="13"/>
  <c r="Z50" i="13"/>
  <c r="AP9" i="13"/>
  <c r="AA9" i="13"/>
  <c r="AP7" i="13"/>
  <c r="AA7" i="13"/>
  <c r="AP5" i="13"/>
  <c r="AA5" i="13"/>
  <c r="AP3" i="13"/>
  <c r="AA3" i="13"/>
  <c r="AM92" i="13"/>
  <c r="X92" i="13"/>
  <c r="AM84" i="13"/>
  <c r="AR84" i="13" s="1"/>
  <c r="AT84" i="13" s="1"/>
  <c r="X84" i="13"/>
  <c r="AM76" i="13"/>
  <c r="X76" i="13"/>
  <c r="AM68" i="13"/>
  <c r="X68" i="13"/>
  <c r="AM60" i="13"/>
  <c r="X60" i="13"/>
  <c r="AM44" i="13"/>
  <c r="X44" i="13"/>
  <c r="AM36" i="13"/>
  <c r="X36" i="13"/>
  <c r="AM12" i="13"/>
  <c r="X12" i="13"/>
  <c r="AM9" i="13"/>
  <c r="X9" i="13"/>
  <c r="AM37" i="13"/>
  <c r="X37" i="13"/>
  <c r="AN48" i="13"/>
  <c r="Y48" i="13"/>
  <c r="AN66" i="13"/>
  <c r="Y66" i="13"/>
  <c r="AN80" i="13"/>
  <c r="Y80" i="13"/>
  <c r="AP26" i="13"/>
  <c r="AA26" i="13"/>
  <c r="Z32" i="13"/>
  <c r="AA60" i="13"/>
  <c r="AO8" i="13"/>
  <c r="AO22" i="13"/>
  <c r="Z16" i="13"/>
  <c r="AO16" i="13"/>
  <c r="AM87" i="13"/>
  <c r="X87" i="13"/>
  <c r="AU59" i="13"/>
  <c r="Y59" i="13"/>
  <c r="AM94" i="13"/>
  <c r="X94" i="13"/>
  <c r="AM54" i="13"/>
  <c r="X54" i="13"/>
  <c r="AM14" i="13"/>
  <c r="X14" i="13"/>
  <c r="AN58" i="13"/>
  <c r="Y58" i="13"/>
  <c r="X83" i="13"/>
  <c r="AM83" i="13"/>
  <c r="AA82" i="13"/>
  <c r="AP82" i="13"/>
  <c r="AA66" i="13"/>
  <c r="AP66" i="13"/>
  <c r="Z4" i="13"/>
  <c r="AU48" i="13"/>
  <c r="Z48" i="13"/>
  <c r="AP17" i="13"/>
  <c r="AA17" i="13"/>
  <c r="AO69" i="13"/>
  <c r="Z69" i="13"/>
  <c r="AQ89" i="13"/>
  <c r="AR89" i="13" s="1"/>
  <c r="AT89" i="13" s="1"/>
  <c r="AB89" i="13"/>
  <c r="AA15" i="13"/>
  <c r="X50" i="13"/>
  <c r="X61" i="13"/>
  <c r="AA88" i="13"/>
  <c r="AN11" i="13"/>
  <c r="Y11" i="13"/>
  <c r="AN3" i="13"/>
  <c r="Y3" i="13"/>
  <c r="AM90" i="13"/>
  <c r="X90" i="13"/>
  <c r="AM82" i="13"/>
  <c r="X82" i="13"/>
  <c r="AM74" i="13"/>
  <c r="X74" i="13"/>
  <c r="AM66" i="13"/>
  <c r="X66" i="13"/>
  <c r="AM58" i="13"/>
  <c r="X58" i="13"/>
  <c r="AM42" i="13"/>
  <c r="X42" i="13"/>
  <c r="AM34" i="13"/>
  <c r="X34" i="13"/>
  <c r="AM10" i="13"/>
  <c r="X10" i="13"/>
  <c r="AN20" i="13"/>
  <c r="Y20" i="13"/>
  <c r="AN42" i="13"/>
  <c r="Y42" i="13"/>
  <c r="AN56" i="13"/>
  <c r="Y56" i="13"/>
  <c r="Y70" i="13"/>
  <c r="AN74" i="13"/>
  <c r="Y74" i="13"/>
  <c r="AN88" i="13"/>
  <c r="Y88" i="13"/>
  <c r="AA4" i="13"/>
  <c r="Y17" i="13"/>
  <c r="X26" i="13"/>
  <c r="Z34" i="13"/>
  <c r="AA51" i="13"/>
  <c r="X77" i="13"/>
  <c r="Y91" i="13"/>
  <c r="AP28" i="13"/>
  <c r="AU44" i="13"/>
  <c r="Z44" i="13"/>
  <c r="AM79" i="13"/>
  <c r="X79" i="13"/>
  <c r="AM47" i="13"/>
  <c r="X47" i="13"/>
  <c r="Y12" i="13"/>
  <c r="AN12" i="13"/>
  <c r="AN34" i="13"/>
  <c r="Y34" i="13"/>
  <c r="Z71" i="13"/>
  <c r="AO71" i="13"/>
  <c r="AN31" i="13"/>
  <c r="Y31" i="13"/>
  <c r="AM78" i="13"/>
  <c r="X78" i="13"/>
  <c r="AM13" i="13"/>
  <c r="X13" i="13"/>
  <c r="AN40" i="13"/>
  <c r="Y40" i="13"/>
  <c r="AM5" i="13"/>
  <c r="X5" i="13"/>
  <c r="AO19" i="13"/>
  <c r="Z19" i="13"/>
  <c r="Z55" i="13"/>
  <c r="AO55" i="13"/>
  <c r="AU46" i="13"/>
  <c r="AQ4" i="13"/>
  <c r="AR4" i="13" s="1"/>
  <c r="AT4" i="13" s="1"/>
  <c r="AB4" i="13"/>
  <c r="X89" i="13"/>
  <c r="AM89" i="13"/>
  <c r="X81" i="13"/>
  <c r="AM81" i="13"/>
  <c r="X73" i="13"/>
  <c r="AM73" i="13"/>
  <c r="X57" i="13"/>
  <c r="AM57" i="13"/>
  <c r="X49" i="13"/>
  <c r="AM49" i="13"/>
  <c r="AM41" i="13"/>
  <c r="X41" i="13"/>
  <c r="AM33" i="13"/>
  <c r="X33" i="13"/>
  <c r="X16" i="13"/>
  <c r="AN26" i="13"/>
  <c r="Y26" i="13"/>
  <c r="AO45" i="13"/>
  <c r="Z45" i="13"/>
  <c r="Z63" i="13"/>
  <c r="AO63" i="13"/>
  <c r="AO77" i="13"/>
  <c r="Z77" i="13"/>
  <c r="AA36" i="13"/>
  <c r="AP2" i="13"/>
  <c r="AR2" i="13" s="1"/>
  <c r="AA2" i="13"/>
  <c r="X18" i="13"/>
  <c r="Z26" i="13"/>
  <c r="X52" i="13"/>
  <c r="Y64" i="13"/>
  <c r="Z78" i="13"/>
  <c r="AB91" i="13"/>
  <c r="AU68" i="13"/>
  <c r="Z12" i="13"/>
  <c r="Z6" i="13"/>
  <c r="AO6" i="13"/>
  <c r="AM55" i="13"/>
  <c r="X55" i="13"/>
  <c r="AO7" i="13"/>
  <c r="Z7" i="13"/>
  <c r="X17" i="13"/>
  <c r="AM17" i="13"/>
  <c r="AO39" i="13"/>
  <c r="Z39" i="13"/>
  <c r="AN35" i="13"/>
  <c r="Y35" i="13"/>
  <c r="AN27" i="13"/>
  <c r="Y27" i="13"/>
  <c r="AM62" i="13"/>
  <c r="X62" i="13"/>
  <c r="Z17" i="13"/>
  <c r="AO17" i="13"/>
  <c r="X51" i="13"/>
  <c r="AM51" i="13"/>
  <c r="AA90" i="13"/>
  <c r="AP90" i="13"/>
  <c r="AA50" i="13"/>
  <c r="AP50" i="13"/>
  <c r="Z84" i="13"/>
  <c r="AO30" i="13"/>
  <c r="Z30" i="13"/>
  <c r="X25" i="13"/>
  <c r="AM25" i="13"/>
  <c r="AM45" i="13"/>
  <c r="X45" i="13"/>
  <c r="Z87" i="13"/>
  <c r="AO87" i="13"/>
  <c r="AR87" i="13" s="1"/>
  <c r="AT87" i="13" s="1"/>
  <c r="AU42" i="13"/>
  <c r="X65" i="13"/>
  <c r="AM65" i="13"/>
  <c r="AP37" i="13"/>
  <c r="AA37" i="13"/>
  <c r="AP35" i="13"/>
  <c r="AA35" i="13"/>
  <c r="AP33" i="13"/>
  <c r="AA33" i="13"/>
  <c r="AP31" i="13"/>
  <c r="AA31" i="13"/>
  <c r="AP29" i="13"/>
  <c r="AA29" i="13"/>
  <c r="AP27" i="13"/>
  <c r="AA27" i="13"/>
  <c r="AP25" i="13"/>
  <c r="AA25" i="13"/>
  <c r="AN21" i="13"/>
  <c r="Y21" i="13"/>
  <c r="Y19" i="13"/>
  <c r="AM88" i="13"/>
  <c r="X88" i="13"/>
  <c r="AM80" i="13"/>
  <c r="X80" i="13"/>
  <c r="AM72" i="13"/>
  <c r="X72" i="13"/>
  <c r="AM64" i="13"/>
  <c r="X64" i="13"/>
  <c r="AM56" i="13"/>
  <c r="X56" i="13"/>
  <c r="AM48" i="13"/>
  <c r="X48" i="13"/>
  <c r="AM40" i="13"/>
  <c r="X40" i="13"/>
  <c r="AM32" i="13"/>
  <c r="X32" i="13"/>
  <c r="AM24" i="13"/>
  <c r="X24" i="13"/>
  <c r="AN2" i="13"/>
  <c r="Y2" i="13"/>
  <c r="AN32" i="13"/>
  <c r="Y32" i="13"/>
  <c r="AN50" i="13"/>
  <c r="Y50" i="13"/>
  <c r="AN82" i="13"/>
  <c r="Y82" i="13"/>
  <c r="AA92" i="13"/>
  <c r="AP84" i="13"/>
  <c r="AA84" i="13"/>
  <c r="AA76" i="13"/>
  <c r="AP76" i="13"/>
  <c r="AA68" i="13"/>
  <c r="AA52" i="13"/>
  <c r="AP52" i="13"/>
  <c r="AP34" i="13"/>
  <c r="AA34" i="13"/>
  <c r="Z2" i="13"/>
  <c r="AA19" i="13"/>
  <c r="X28" i="13"/>
  <c r="Z36" i="13"/>
  <c r="Z94" i="13"/>
  <c r="AM35" i="13"/>
  <c r="AO58" i="13"/>
  <c r="Z58" i="13"/>
  <c r="AN61" i="13"/>
  <c r="Y61" i="13"/>
  <c r="AO66" i="13"/>
  <c r="Z66" i="13"/>
  <c r="AN69" i="13"/>
  <c r="Y69" i="13"/>
  <c r="AO74" i="13"/>
  <c r="Z74" i="13"/>
  <c r="AN77" i="13"/>
  <c r="Y77" i="13"/>
  <c r="AO82" i="13"/>
  <c r="Z82" i="13"/>
  <c r="AN85" i="13"/>
  <c r="Y85" i="13"/>
  <c r="AO90" i="13"/>
  <c r="Z90" i="13"/>
  <c r="AN93" i="13"/>
  <c r="Y93" i="13"/>
  <c r="AP91" i="13"/>
  <c r="AR91" i="13" s="1"/>
  <c r="AT91" i="13" s="1"/>
  <c r="AA91" i="13"/>
  <c r="AP83" i="13"/>
  <c r="AA83" i="13"/>
  <c r="AP75" i="13"/>
  <c r="AA75" i="13"/>
  <c r="AP67" i="13"/>
  <c r="AA67" i="13"/>
  <c r="AP59" i="13"/>
  <c r="AA59" i="13"/>
  <c r="AQ88" i="13"/>
  <c r="AB88" i="13"/>
  <c r="AA32" i="13"/>
  <c r="Y43" i="13"/>
  <c r="AA49" i="13"/>
  <c r="Z57" i="13"/>
  <c r="Z67" i="13"/>
  <c r="Z91" i="13"/>
  <c r="AA94" i="13"/>
  <c r="AN36" i="13"/>
  <c r="AO56" i="13"/>
  <c r="Z56" i="13"/>
  <c r="AO64" i="13"/>
  <c r="Z64" i="13"/>
  <c r="AN67" i="13"/>
  <c r="Y67" i="13"/>
  <c r="AO72" i="13"/>
  <c r="Z72" i="13"/>
  <c r="AO80" i="13"/>
  <c r="Z80" i="13"/>
  <c r="Y83" i="13"/>
  <c r="AN83" i="13"/>
  <c r="AO88" i="13"/>
  <c r="Z88" i="13"/>
  <c r="AA57" i="13"/>
  <c r="AP57" i="13"/>
  <c r="AQ94" i="13"/>
  <c r="AR94" i="13" s="1"/>
  <c r="AT94" i="13" s="1"/>
  <c r="AB94" i="13"/>
  <c r="AQ86" i="13"/>
  <c r="AR86" i="13" s="1"/>
  <c r="AT86" i="13" s="1"/>
  <c r="AB86" i="13"/>
  <c r="AA24" i="13"/>
  <c r="AA41" i="13"/>
  <c r="Y52" i="13"/>
  <c r="AA54" i="13"/>
  <c r="Y65" i="13"/>
  <c r="Y75" i="13"/>
  <c r="AA78" i="13"/>
  <c r="Y89" i="13"/>
  <c r="Z92" i="13"/>
  <c r="AN44" i="13"/>
  <c r="Y30" i="13"/>
  <c r="Y38" i="13"/>
  <c r="AO43" i="13"/>
  <c r="Z43" i="13"/>
  <c r="Y46" i="13"/>
  <c r="AO51" i="13"/>
  <c r="Z51" i="13"/>
  <c r="AO59" i="13"/>
  <c r="Z59" i="13"/>
  <c r="Y62" i="13"/>
  <c r="AO75" i="13"/>
  <c r="Z75" i="13"/>
  <c r="AP80" i="13"/>
  <c r="AA80" i="13"/>
  <c r="AP64" i="13"/>
  <c r="AA64" i="13"/>
  <c r="AB93" i="13"/>
  <c r="AB85" i="13"/>
  <c r="Z89" i="13"/>
  <c r="AN38" i="13"/>
  <c r="AN70" i="13"/>
  <c r="AM96" i="13"/>
  <c r="X96" i="13"/>
  <c r="Y78" i="13"/>
  <c r="AO54" i="13"/>
  <c r="Z54" i="13"/>
  <c r="Y57" i="13"/>
  <c r="AN57" i="13"/>
  <c r="Z70" i="13"/>
  <c r="AO70" i="13"/>
  <c r="Y73" i="13"/>
  <c r="AN73" i="13"/>
  <c r="AQ92" i="13"/>
  <c r="AR92" i="13" s="1"/>
  <c r="AT92" i="13" s="1"/>
  <c r="AB92" i="13"/>
  <c r="X8" i="13"/>
  <c r="AA16" i="13"/>
  <c r="Z46" i="13"/>
  <c r="AA48" i="13"/>
  <c r="Z62" i="13"/>
  <c r="AA72" i="13"/>
  <c r="Z76" i="13"/>
  <c r="AA79" i="13"/>
  <c r="Z86" i="13"/>
  <c r="AA89" i="13"/>
  <c r="Y68" i="13"/>
  <c r="Y76" i="13"/>
  <c r="Y84" i="13"/>
  <c r="Y92" i="13"/>
  <c r="AP62" i="13"/>
  <c r="AA62" i="13"/>
  <c r="AP46" i="13"/>
  <c r="AA46" i="13"/>
  <c r="AP38" i="13"/>
  <c r="AA38" i="13"/>
  <c r="AP30" i="13"/>
  <c r="AA30" i="13"/>
  <c r="AP14" i="13"/>
  <c r="AA14" i="13"/>
  <c r="AP6" i="13"/>
  <c r="AR6" i="13" s="1"/>
  <c r="AT6" i="13" s="1"/>
  <c r="AA6" i="13"/>
  <c r="Y53" i="13"/>
  <c r="Z83" i="13"/>
  <c r="AA86" i="13"/>
  <c r="AN46" i="13"/>
  <c r="AO65" i="13"/>
  <c r="AN78" i="13"/>
  <c r="Y60" i="13"/>
  <c r="AN55" i="13"/>
  <c r="Y55" i="13"/>
  <c r="Z60" i="13"/>
  <c r="AO60" i="13"/>
  <c r="AN63" i="13"/>
  <c r="Y63" i="13"/>
  <c r="AN71" i="13"/>
  <c r="Y71" i="13"/>
  <c r="AN79" i="13"/>
  <c r="Y79" i="13"/>
  <c r="AN87" i="13"/>
  <c r="Y87" i="13"/>
  <c r="AP93" i="13"/>
  <c r="AA93" i="13"/>
  <c r="AP85" i="13"/>
  <c r="AA85" i="13"/>
  <c r="AP77" i="13"/>
  <c r="AA77" i="13"/>
  <c r="AP69" i="13"/>
  <c r="AA69" i="13"/>
  <c r="AP61" i="13"/>
  <c r="AA61" i="13"/>
  <c r="AP53" i="13"/>
  <c r="AA53" i="13"/>
  <c r="AA8" i="13"/>
  <c r="Z38" i="13"/>
  <c r="Y51" i="13"/>
  <c r="AA63" i="13"/>
  <c r="AA73" i="13"/>
  <c r="AB83" i="13"/>
  <c r="AB90" i="13"/>
  <c r="AN60" i="13"/>
  <c r="AQ85" i="13"/>
  <c r="AN92" i="13"/>
  <c r="AN96" i="13"/>
  <c r="AN95" i="13"/>
  <c r="W8" i="30"/>
  <c r="H5" i="30"/>
  <c r="I5" i="30"/>
  <c r="I16" i="30" s="1"/>
  <c r="J5" i="30"/>
  <c r="K5" i="30"/>
  <c r="L5" i="30"/>
  <c r="M5" i="30"/>
  <c r="N5" i="30"/>
  <c r="O5" i="30"/>
  <c r="P5" i="30"/>
  <c r="W7" i="30"/>
  <c r="W14" i="30"/>
  <c r="W15" i="30"/>
  <c r="W16" i="30"/>
  <c r="W17" i="30"/>
  <c r="W18" i="30"/>
  <c r="W19" i="30"/>
  <c r="W20" i="30"/>
  <c r="V21" i="30"/>
  <c r="W21" i="30"/>
  <c r="V22" i="30"/>
  <c r="W22" i="30"/>
  <c r="V23" i="30"/>
  <c r="W23" i="30"/>
  <c r="F28" i="30"/>
  <c r="F30" i="30" s="1"/>
  <c r="H28" i="30"/>
  <c r="H32" i="30" s="1"/>
  <c r="I28" i="30"/>
  <c r="I29" i="30" s="1"/>
  <c r="J28" i="30"/>
  <c r="J33" i="30" s="1"/>
  <c r="K28" i="30"/>
  <c r="K29" i="30" s="1"/>
  <c r="L28" i="30"/>
  <c r="L30" i="30" s="1"/>
  <c r="M28" i="30"/>
  <c r="M32" i="30" s="1"/>
  <c r="N28" i="30"/>
  <c r="N33" i="30" s="1"/>
  <c r="O28" i="30"/>
  <c r="O32" i="30" s="1"/>
  <c r="P28" i="30"/>
  <c r="P32" i="30" s="1"/>
  <c r="I32" i="30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R90" i="13" l="1"/>
  <c r="AT90" i="13" s="1"/>
  <c r="AR88" i="13"/>
  <c r="AT88" i="13" s="1"/>
  <c r="AR83" i="13"/>
  <c r="AT83" i="13" s="1"/>
  <c r="AR85" i="13"/>
  <c r="AT85" i="13" s="1"/>
  <c r="AQ7" i="13"/>
  <c r="AB7" i="13"/>
  <c r="AR3" i="13"/>
  <c r="AT3" i="13" s="1"/>
  <c r="J9" i="13"/>
  <c r="AR5" i="13"/>
  <c r="AT5" i="13" s="1"/>
  <c r="AR7" i="13"/>
  <c r="AT7" i="13" s="1"/>
  <c r="AP42" i="13"/>
  <c r="AA40" i="13"/>
  <c r="I44" i="13"/>
  <c r="Q43" i="13"/>
  <c r="V43" i="13" s="1"/>
  <c r="AT2" i="13"/>
  <c r="AO98" i="13"/>
  <c r="L34" i="30"/>
  <c r="AN98" i="13"/>
  <c r="P6" i="30"/>
  <c r="P15" i="30"/>
  <c r="K34" i="30"/>
  <c r="I33" i="30"/>
  <c r="I8" i="30"/>
  <c r="I14" i="30"/>
  <c r="H13" i="30"/>
  <c r="O15" i="30"/>
  <c r="J34" i="30"/>
  <c r="I34" i="30"/>
  <c r="P7" i="30"/>
  <c r="J7" i="30"/>
  <c r="I13" i="30"/>
  <c r="F34" i="30"/>
  <c r="H14" i="30"/>
  <c r="M19" i="30"/>
  <c r="J9" i="30"/>
  <c r="V15" i="30"/>
  <c r="X15" i="30" s="1"/>
  <c r="I7" i="30"/>
  <c r="F31" i="30"/>
  <c r="L7" i="30"/>
  <c r="M31" i="30"/>
  <c r="H31" i="30"/>
  <c r="O34" i="30"/>
  <c r="M33" i="30"/>
  <c r="M34" i="30"/>
  <c r="L33" i="30"/>
  <c r="O29" i="30"/>
  <c r="J14" i="30"/>
  <c r="K7" i="30"/>
  <c r="W6" i="30"/>
  <c r="L29" i="30"/>
  <c r="K13" i="30"/>
  <c r="P34" i="30"/>
  <c r="H34" i="30"/>
  <c r="L19" i="30"/>
  <c r="K17" i="30"/>
  <c r="P13" i="30"/>
  <c r="K8" i="30"/>
  <c r="O6" i="30"/>
  <c r="M29" i="30"/>
  <c r="K6" i="30"/>
  <c r="P14" i="30"/>
  <c r="N13" i="30"/>
  <c r="M12" i="30"/>
  <c r="J8" i="30"/>
  <c r="L18" i="30"/>
  <c r="L31" i="30"/>
  <c r="K15" i="30"/>
  <c r="N32" i="30"/>
  <c r="N34" i="30"/>
  <c r="L32" i="30"/>
  <c r="N14" i="30"/>
  <c r="J13" i="30"/>
  <c r="L12" i="30"/>
  <c r="J10" i="30"/>
  <c r="M7" i="30"/>
  <c r="H33" i="30"/>
  <c r="K19" i="30"/>
  <c r="K18" i="30"/>
  <c r="I17" i="30"/>
  <c r="P16" i="30"/>
  <c r="L15" i="30"/>
  <c r="R14" i="30"/>
  <c r="R12" i="30"/>
  <c r="J6" i="30"/>
  <c r="F33" i="30"/>
  <c r="F32" i="30"/>
  <c r="I19" i="30"/>
  <c r="J18" i="30"/>
  <c r="L16" i="30"/>
  <c r="J15" i="30"/>
  <c r="O13" i="30"/>
  <c r="L10" i="30"/>
  <c r="L9" i="30"/>
  <c r="I6" i="30"/>
  <c r="P33" i="30"/>
  <c r="P31" i="30"/>
  <c r="O30" i="30"/>
  <c r="H18" i="30"/>
  <c r="K16" i="30"/>
  <c r="I15" i="30"/>
  <c r="O14" i="30"/>
  <c r="K10" i="30"/>
  <c r="K9" i="30"/>
  <c r="O33" i="30"/>
  <c r="O31" i="30"/>
  <c r="M30" i="30"/>
  <c r="J16" i="30"/>
  <c r="H15" i="30"/>
  <c r="M13" i="30"/>
  <c r="H7" i="30"/>
  <c r="L14" i="30"/>
  <c r="L13" i="30"/>
  <c r="F29" i="30"/>
  <c r="H16" i="30"/>
  <c r="K14" i="30"/>
  <c r="N16" i="30"/>
  <c r="N20" i="30"/>
  <c r="N10" i="30"/>
  <c r="O10" i="30"/>
  <c r="H10" i="30"/>
  <c r="P10" i="30"/>
  <c r="I10" i="30"/>
  <c r="N18" i="30"/>
  <c r="O18" i="30"/>
  <c r="I18" i="30"/>
  <c r="O11" i="30"/>
  <c r="H11" i="30"/>
  <c r="P11" i="30"/>
  <c r="I11" i="30"/>
  <c r="J11" i="30"/>
  <c r="N11" i="30"/>
  <c r="M11" i="30"/>
  <c r="L11" i="30"/>
  <c r="L17" i="30"/>
  <c r="H12" i="30"/>
  <c r="P12" i="30"/>
  <c r="I12" i="30"/>
  <c r="J12" i="30"/>
  <c r="K12" i="30"/>
  <c r="N29" i="30"/>
  <c r="Q28" i="30"/>
  <c r="I31" i="30"/>
  <c r="I30" i="30"/>
  <c r="O19" i="30"/>
  <c r="H19" i="30"/>
  <c r="P19" i="30"/>
  <c r="J19" i="30"/>
  <c r="P18" i="30"/>
  <c r="O12" i="30"/>
  <c r="M9" i="30"/>
  <c r="N9" i="30"/>
  <c r="O9" i="30"/>
  <c r="H9" i="30"/>
  <c r="P9" i="30"/>
  <c r="I9" i="30"/>
  <c r="H6" i="30"/>
  <c r="H20" i="30"/>
  <c r="P20" i="30"/>
  <c r="I20" i="30"/>
  <c r="K20" i="30"/>
  <c r="M17" i="30"/>
  <c r="N17" i="30"/>
  <c r="O17" i="30"/>
  <c r="H17" i="30"/>
  <c r="P17" i="30"/>
  <c r="N31" i="30"/>
  <c r="M20" i="30"/>
  <c r="L20" i="30"/>
  <c r="N30" i="30"/>
  <c r="K33" i="30"/>
  <c r="K32" i="30"/>
  <c r="K30" i="30"/>
  <c r="J20" i="30"/>
  <c r="K31" i="30"/>
  <c r="J32" i="30"/>
  <c r="J31" i="30"/>
  <c r="J29" i="30"/>
  <c r="K11" i="30"/>
  <c r="J30" i="30"/>
  <c r="P30" i="30"/>
  <c r="P29" i="30"/>
  <c r="H30" i="30"/>
  <c r="H29" i="30"/>
  <c r="N19" i="30"/>
  <c r="M18" i="30"/>
  <c r="J17" i="30"/>
  <c r="N12" i="30"/>
  <c r="M10" i="30"/>
  <c r="L8" i="30"/>
  <c r="M8" i="30"/>
  <c r="N8" i="30"/>
  <c r="O8" i="30"/>
  <c r="H8" i="30"/>
  <c r="P8" i="30"/>
  <c r="O20" i="30"/>
  <c r="O16" i="30"/>
  <c r="N15" i="30"/>
  <c r="M14" i="30"/>
  <c r="O7" i="30"/>
  <c r="N6" i="30"/>
  <c r="M15" i="30"/>
  <c r="N7" i="30"/>
  <c r="M6" i="30"/>
  <c r="M16" i="30"/>
  <c r="L6" i="30"/>
  <c r="J10" i="13" l="1"/>
  <c r="R9" i="13" s="1"/>
  <c r="W9" i="13" s="1"/>
  <c r="R8" i="13"/>
  <c r="W8" i="13" s="1"/>
  <c r="AP43" i="13"/>
  <c r="AA43" i="13"/>
  <c r="I45" i="13"/>
  <c r="Q45" i="13" s="1"/>
  <c r="V45" i="13" s="1"/>
  <c r="Q44" i="13"/>
  <c r="V44" i="13" s="1"/>
  <c r="R15" i="30"/>
  <c r="Y15" i="30"/>
  <c r="Q34" i="30"/>
  <c r="V34" i="30" s="1"/>
  <c r="W34" i="30" s="1"/>
  <c r="Q33" i="30"/>
  <c r="V33" i="30" s="1"/>
  <c r="W33" i="30" s="1"/>
  <c r="V16" i="30"/>
  <c r="X16" i="30" s="1"/>
  <c r="R16" i="30"/>
  <c r="V12" i="30"/>
  <c r="V6" i="30"/>
  <c r="X6" i="30" s="1"/>
  <c r="R6" i="30"/>
  <c r="Q32" i="30"/>
  <c r="V32" i="30" s="1"/>
  <c r="W32" i="30" s="1"/>
  <c r="Q20" i="30"/>
  <c r="R13" i="30"/>
  <c r="V13" i="30"/>
  <c r="Q30" i="30"/>
  <c r="V30" i="30" s="1"/>
  <c r="W30" i="30" s="1"/>
  <c r="Q31" i="30"/>
  <c r="V31" i="30" s="1"/>
  <c r="W31" i="30" s="1"/>
  <c r="Q16" i="30"/>
  <c r="V14" i="30"/>
  <c r="Q18" i="30"/>
  <c r="Q15" i="30"/>
  <c r="V17" i="30"/>
  <c r="X17" i="30" s="1"/>
  <c r="R17" i="30"/>
  <c r="R11" i="30"/>
  <c r="V11" i="30"/>
  <c r="Y12" i="30"/>
  <c r="V8" i="30"/>
  <c r="X8" i="30" s="1"/>
  <c r="Q7" i="30"/>
  <c r="R10" i="30"/>
  <c r="V10" i="30"/>
  <c r="R18" i="30"/>
  <c r="V18" i="30"/>
  <c r="X18" i="30" s="1"/>
  <c r="Q17" i="30"/>
  <c r="V9" i="30"/>
  <c r="R9" i="30"/>
  <c r="Q6" i="30"/>
  <c r="Q8" i="30"/>
  <c r="R19" i="30"/>
  <c r="V19" i="30"/>
  <c r="X19" i="30" s="1"/>
  <c r="Q19" i="30"/>
  <c r="Q29" i="30"/>
  <c r="V29" i="30" s="1"/>
  <c r="V7" i="30"/>
  <c r="X7" i="30" s="1"/>
  <c r="R7" i="30"/>
  <c r="Q14" i="30"/>
  <c r="R20" i="30"/>
  <c r="V20" i="30"/>
  <c r="X20" i="30" s="1"/>
  <c r="AQ8" i="13" l="1"/>
  <c r="AB8" i="13"/>
  <c r="J11" i="13"/>
  <c r="R10" i="13"/>
  <c r="W10" i="13" s="1"/>
  <c r="AQ9" i="13"/>
  <c r="AR9" i="13" s="1"/>
  <c r="AT9" i="13" s="1"/>
  <c r="AB9" i="13"/>
  <c r="AA44" i="13"/>
  <c r="AP44" i="13"/>
  <c r="AP45" i="13"/>
  <c r="AA45" i="13"/>
  <c r="AP98" i="13"/>
  <c r="Y14" i="30"/>
  <c r="X14" i="30"/>
  <c r="Y16" i="30"/>
  <c r="Y6" i="30"/>
  <c r="Y13" i="30"/>
  <c r="Y11" i="30"/>
  <c r="Y10" i="30"/>
  <c r="Y20" i="30"/>
  <c r="Y7" i="30"/>
  <c r="V35" i="30"/>
  <c r="W35" i="30" s="1"/>
  <c r="W29" i="30"/>
  <c r="Y9" i="30"/>
  <c r="Y8" i="30"/>
  <c r="Y17" i="30"/>
  <c r="Y19" i="30"/>
  <c r="Y18" i="30"/>
  <c r="J12" i="13" l="1"/>
  <c r="R11" i="13" s="1"/>
  <c r="W11" i="13" s="1"/>
  <c r="AQ10" i="13"/>
  <c r="AR10" i="13" s="1"/>
  <c r="AT10" i="13" s="1"/>
  <c r="AB10" i="13"/>
  <c r="AR8" i="13"/>
  <c r="C82" i="27"/>
  <c r="B82" i="27"/>
  <c r="AQ11" i="13" l="1"/>
  <c r="AB11" i="13"/>
  <c r="AT8" i="13"/>
  <c r="J13" i="13"/>
  <c r="R12" i="13" s="1"/>
  <c r="W12" i="13" s="1"/>
  <c r="AK3" i="20"/>
  <c r="AL3" i="20"/>
  <c r="AM3" i="20"/>
  <c r="AN3" i="20"/>
  <c r="AO3" i="20"/>
  <c r="AK4" i="20"/>
  <c r="AL4" i="20"/>
  <c r="AM4" i="20"/>
  <c r="AN4" i="20"/>
  <c r="AO4" i="20"/>
  <c r="AK5" i="20"/>
  <c r="AL5" i="20"/>
  <c r="AM5" i="20"/>
  <c r="AN5" i="20"/>
  <c r="AO5" i="20"/>
  <c r="AK6" i="20"/>
  <c r="AL6" i="20"/>
  <c r="AM6" i="20"/>
  <c r="AN6" i="20"/>
  <c r="AO6" i="20"/>
  <c r="AK7" i="20"/>
  <c r="AL7" i="20"/>
  <c r="AM7" i="20"/>
  <c r="AN7" i="20"/>
  <c r="AO7" i="20"/>
  <c r="AK8" i="20"/>
  <c r="AL8" i="20"/>
  <c r="AM8" i="20"/>
  <c r="AN8" i="20"/>
  <c r="AO8" i="20"/>
  <c r="AK9" i="20"/>
  <c r="AL9" i="20"/>
  <c r="AM9" i="20"/>
  <c r="AN9" i="20"/>
  <c r="AO9" i="20"/>
  <c r="AK10" i="20"/>
  <c r="AL10" i="20"/>
  <c r="AM10" i="20"/>
  <c r="AN10" i="20"/>
  <c r="AO10" i="20"/>
  <c r="AK11" i="20"/>
  <c r="AL11" i="20"/>
  <c r="AM11" i="20"/>
  <c r="AN11" i="20"/>
  <c r="AO11" i="20"/>
  <c r="AK12" i="20"/>
  <c r="AL12" i="20"/>
  <c r="AM12" i="20"/>
  <c r="AN12" i="20"/>
  <c r="AO12" i="20"/>
  <c r="AK13" i="20"/>
  <c r="AL13" i="20"/>
  <c r="AM13" i="20"/>
  <c r="AN13" i="20"/>
  <c r="AO13" i="20"/>
  <c r="AK14" i="20"/>
  <c r="AL14" i="20"/>
  <c r="AM14" i="20"/>
  <c r="AN14" i="20"/>
  <c r="AO14" i="20"/>
  <c r="AK15" i="20"/>
  <c r="AL15" i="20"/>
  <c r="AM15" i="20"/>
  <c r="AN15" i="20"/>
  <c r="AO15" i="20"/>
  <c r="AK16" i="20"/>
  <c r="AL16" i="20"/>
  <c r="AM16" i="20"/>
  <c r="AN16" i="20"/>
  <c r="AO16" i="20"/>
  <c r="AK17" i="20"/>
  <c r="AL17" i="20"/>
  <c r="AM17" i="20"/>
  <c r="AN17" i="20"/>
  <c r="AO17" i="20"/>
  <c r="AK18" i="20"/>
  <c r="AL18" i="20"/>
  <c r="AM18" i="20"/>
  <c r="AN18" i="20"/>
  <c r="AO18" i="20"/>
  <c r="AK19" i="20"/>
  <c r="AL19" i="20"/>
  <c r="AM19" i="20"/>
  <c r="AN19" i="20"/>
  <c r="AO19" i="20"/>
  <c r="AK20" i="20"/>
  <c r="AL20" i="20"/>
  <c r="AM20" i="20"/>
  <c r="AN20" i="20"/>
  <c r="AO20" i="20"/>
  <c r="AK21" i="20"/>
  <c r="AL21" i="20"/>
  <c r="AM21" i="20"/>
  <c r="AN21" i="20"/>
  <c r="AO21" i="20"/>
  <c r="AK22" i="20"/>
  <c r="AL22" i="20"/>
  <c r="AM22" i="20"/>
  <c r="AN22" i="20"/>
  <c r="AO22" i="20"/>
  <c r="AK23" i="20"/>
  <c r="AL23" i="20"/>
  <c r="AM23" i="20"/>
  <c r="AN23" i="20"/>
  <c r="AO23" i="20"/>
  <c r="AK24" i="20"/>
  <c r="AL24" i="20"/>
  <c r="AM24" i="20"/>
  <c r="AN24" i="20"/>
  <c r="AO24" i="20"/>
  <c r="AK25" i="20"/>
  <c r="AL25" i="20"/>
  <c r="AM25" i="20"/>
  <c r="AN25" i="20"/>
  <c r="AO25" i="20"/>
  <c r="AK26" i="20"/>
  <c r="AL26" i="20"/>
  <c r="AM26" i="20"/>
  <c r="AN26" i="20"/>
  <c r="AO26" i="20"/>
  <c r="AK27" i="20"/>
  <c r="AL27" i="20"/>
  <c r="AM27" i="20"/>
  <c r="AN27" i="20"/>
  <c r="AO27" i="20"/>
  <c r="AK28" i="20"/>
  <c r="AL28" i="20"/>
  <c r="AM28" i="20"/>
  <c r="AN28" i="20"/>
  <c r="AO28" i="20"/>
  <c r="AK29" i="20"/>
  <c r="AL29" i="20"/>
  <c r="AM29" i="20"/>
  <c r="AN29" i="20"/>
  <c r="AO29" i="20"/>
  <c r="AK30" i="20"/>
  <c r="AL30" i="20"/>
  <c r="AM30" i="20"/>
  <c r="AN30" i="20"/>
  <c r="AO30" i="20"/>
  <c r="AK31" i="20"/>
  <c r="AL31" i="20"/>
  <c r="AM31" i="20"/>
  <c r="AN31" i="20"/>
  <c r="AO31" i="20"/>
  <c r="AK32" i="20"/>
  <c r="AL32" i="20"/>
  <c r="AM32" i="20"/>
  <c r="AN32" i="20"/>
  <c r="AO32" i="20"/>
  <c r="AK33" i="20"/>
  <c r="AL33" i="20"/>
  <c r="AM33" i="20"/>
  <c r="AN33" i="20"/>
  <c r="AO33" i="20"/>
  <c r="AK34" i="20"/>
  <c r="AL34" i="20"/>
  <c r="AM34" i="20"/>
  <c r="AN34" i="20"/>
  <c r="AO34" i="20"/>
  <c r="AK35" i="20"/>
  <c r="AL35" i="20"/>
  <c r="AM35" i="20"/>
  <c r="AN35" i="20"/>
  <c r="AO35" i="20"/>
  <c r="AK36" i="20"/>
  <c r="AL36" i="20"/>
  <c r="AM36" i="20"/>
  <c r="AN36" i="20"/>
  <c r="AO36" i="20"/>
  <c r="AK37" i="20"/>
  <c r="AL37" i="20"/>
  <c r="AM37" i="20"/>
  <c r="AN37" i="20"/>
  <c r="AO37" i="20"/>
  <c r="AK38" i="20"/>
  <c r="AL38" i="20"/>
  <c r="AM38" i="20"/>
  <c r="AN38" i="20"/>
  <c r="AO38" i="20"/>
  <c r="AK39" i="20"/>
  <c r="AL39" i="20"/>
  <c r="AM39" i="20"/>
  <c r="AN39" i="20"/>
  <c r="AO39" i="20"/>
  <c r="AK40" i="20"/>
  <c r="AL40" i="20"/>
  <c r="AM40" i="20"/>
  <c r="AN40" i="20"/>
  <c r="AO40" i="20"/>
  <c r="AK41" i="20"/>
  <c r="AL41" i="20"/>
  <c r="AM41" i="20"/>
  <c r="AN41" i="20"/>
  <c r="AO41" i="20"/>
  <c r="AK42" i="20"/>
  <c r="AL42" i="20"/>
  <c r="AM42" i="20"/>
  <c r="AN42" i="20"/>
  <c r="AO42" i="20"/>
  <c r="AK43" i="20"/>
  <c r="AL43" i="20"/>
  <c r="AM43" i="20"/>
  <c r="AN43" i="20"/>
  <c r="AO43" i="20"/>
  <c r="AK44" i="20"/>
  <c r="AL44" i="20"/>
  <c r="AM44" i="20"/>
  <c r="AN44" i="20"/>
  <c r="AO44" i="20"/>
  <c r="AK45" i="20"/>
  <c r="AL45" i="20"/>
  <c r="AM45" i="20"/>
  <c r="AN45" i="20"/>
  <c r="AO45" i="20"/>
  <c r="AK46" i="20"/>
  <c r="AL46" i="20"/>
  <c r="AM46" i="20"/>
  <c r="AN46" i="20"/>
  <c r="AO46" i="20"/>
  <c r="AK47" i="20"/>
  <c r="AL47" i="20"/>
  <c r="AM47" i="20"/>
  <c r="AN47" i="20"/>
  <c r="AO47" i="20"/>
  <c r="AK48" i="20"/>
  <c r="AL48" i="20"/>
  <c r="AM48" i="20"/>
  <c r="AN48" i="20"/>
  <c r="AO48" i="20"/>
  <c r="AK49" i="20"/>
  <c r="AL49" i="20"/>
  <c r="AM49" i="20"/>
  <c r="AN49" i="20"/>
  <c r="AO49" i="20"/>
  <c r="AK50" i="20"/>
  <c r="AL50" i="20"/>
  <c r="AM50" i="20"/>
  <c r="AN50" i="20"/>
  <c r="AO50" i="20"/>
  <c r="AK51" i="20"/>
  <c r="AL51" i="20"/>
  <c r="AM51" i="20"/>
  <c r="AN51" i="20"/>
  <c r="AO51" i="20"/>
  <c r="AK52" i="20"/>
  <c r="AL52" i="20"/>
  <c r="AM52" i="20"/>
  <c r="AN52" i="20"/>
  <c r="AO52" i="20"/>
  <c r="AK53" i="20"/>
  <c r="AL53" i="20"/>
  <c r="AM53" i="20"/>
  <c r="AN53" i="20"/>
  <c r="AO53" i="20"/>
  <c r="AK54" i="20"/>
  <c r="AL54" i="20"/>
  <c r="AM54" i="20"/>
  <c r="AN54" i="20"/>
  <c r="AO54" i="20"/>
  <c r="AK55" i="20"/>
  <c r="AL55" i="20"/>
  <c r="AM55" i="20"/>
  <c r="AN55" i="20"/>
  <c r="AO55" i="20"/>
  <c r="AK56" i="20"/>
  <c r="AL56" i="20"/>
  <c r="AM56" i="20"/>
  <c r="AN56" i="20"/>
  <c r="AO56" i="20"/>
  <c r="AK57" i="20"/>
  <c r="AL57" i="20"/>
  <c r="AM57" i="20"/>
  <c r="AN57" i="20"/>
  <c r="AO57" i="20"/>
  <c r="AK58" i="20"/>
  <c r="AL58" i="20"/>
  <c r="AM58" i="20"/>
  <c r="AN58" i="20"/>
  <c r="AO58" i="20"/>
  <c r="AK59" i="20"/>
  <c r="AL59" i="20"/>
  <c r="AM59" i="20"/>
  <c r="AN59" i="20"/>
  <c r="AO59" i="20"/>
  <c r="AK60" i="20"/>
  <c r="AL60" i="20"/>
  <c r="AM60" i="20"/>
  <c r="AN60" i="20"/>
  <c r="AO60" i="20"/>
  <c r="AK61" i="20"/>
  <c r="AL61" i="20"/>
  <c r="AM61" i="20"/>
  <c r="AN61" i="20"/>
  <c r="AO61" i="20"/>
  <c r="AK62" i="20"/>
  <c r="AL62" i="20"/>
  <c r="AM62" i="20"/>
  <c r="AN62" i="20"/>
  <c r="AO62" i="20"/>
  <c r="AK63" i="20"/>
  <c r="AL63" i="20"/>
  <c r="AM63" i="20"/>
  <c r="AN63" i="20"/>
  <c r="AO63" i="20"/>
  <c r="AK64" i="20"/>
  <c r="AL64" i="20"/>
  <c r="AM64" i="20"/>
  <c r="AN64" i="20"/>
  <c r="AO64" i="20"/>
  <c r="AK65" i="20"/>
  <c r="AL65" i="20"/>
  <c r="AM65" i="20"/>
  <c r="AN65" i="20"/>
  <c r="AO65" i="20"/>
  <c r="AK66" i="20"/>
  <c r="AL66" i="20"/>
  <c r="AM66" i="20"/>
  <c r="AN66" i="20"/>
  <c r="AO66" i="20"/>
  <c r="AK67" i="20"/>
  <c r="AL67" i="20"/>
  <c r="AM67" i="20"/>
  <c r="AN67" i="20"/>
  <c r="AO67" i="20"/>
  <c r="AK68" i="20"/>
  <c r="AL68" i="20"/>
  <c r="AM68" i="20"/>
  <c r="AN68" i="20"/>
  <c r="AO68" i="20"/>
  <c r="AK69" i="20"/>
  <c r="AL69" i="20"/>
  <c r="AM69" i="20"/>
  <c r="AN69" i="20"/>
  <c r="AO69" i="20"/>
  <c r="AK70" i="20"/>
  <c r="AL70" i="20"/>
  <c r="AM70" i="20"/>
  <c r="AN70" i="20"/>
  <c r="AO70" i="20"/>
  <c r="AK71" i="20"/>
  <c r="AL71" i="20"/>
  <c r="AM71" i="20"/>
  <c r="AN71" i="20"/>
  <c r="AO71" i="20"/>
  <c r="AK72" i="20"/>
  <c r="AL72" i="20"/>
  <c r="AM72" i="20"/>
  <c r="AN72" i="20"/>
  <c r="AO72" i="20"/>
  <c r="AK73" i="20"/>
  <c r="AL73" i="20"/>
  <c r="AM73" i="20"/>
  <c r="AN73" i="20"/>
  <c r="AO73" i="20"/>
  <c r="AK74" i="20"/>
  <c r="AL74" i="20"/>
  <c r="AM74" i="20"/>
  <c r="AN74" i="20"/>
  <c r="AO74" i="20"/>
  <c r="AK75" i="20"/>
  <c r="AL75" i="20"/>
  <c r="AM75" i="20"/>
  <c r="AN75" i="20"/>
  <c r="AO75" i="20"/>
  <c r="AK76" i="20"/>
  <c r="AL76" i="20"/>
  <c r="AM76" i="20"/>
  <c r="AN76" i="20"/>
  <c r="AO76" i="20"/>
  <c r="AK77" i="20"/>
  <c r="AL77" i="20"/>
  <c r="AM77" i="20"/>
  <c r="AN77" i="20"/>
  <c r="AO77" i="20"/>
  <c r="AK78" i="20"/>
  <c r="AL78" i="20"/>
  <c r="AM78" i="20"/>
  <c r="AN78" i="20"/>
  <c r="AO78" i="20"/>
  <c r="AK79" i="20"/>
  <c r="AL79" i="20"/>
  <c r="AM79" i="20"/>
  <c r="AN79" i="20"/>
  <c r="AO79" i="20"/>
  <c r="AK80" i="20"/>
  <c r="AL80" i="20"/>
  <c r="AM80" i="20"/>
  <c r="AN80" i="20"/>
  <c r="AO80" i="20"/>
  <c r="AK81" i="20"/>
  <c r="AL81" i="20"/>
  <c r="AM81" i="20"/>
  <c r="AN81" i="20"/>
  <c r="AO81" i="20"/>
  <c r="AK82" i="20"/>
  <c r="AL82" i="20"/>
  <c r="AM82" i="20"/>
  <c r="AN82" i="20"/>
  <c r="AO82" i="20"/>
  <c r="AK83" i="20"/>
  <c r="AL83" i="20"/>
  <c r="AM83" i="20"/>
  <c r="AN83" i="20"/>
  <c r="AO83" i="20"/>
  <c r="AK84" i="20"/>
  <c r="AL84" i="20"/>
  <c r="AM84" i="20"/>
  <c r="AN84" i="20"/>
  <c r="AO84" i="20"/>
  <c r="AK85" i="20"/>
  <c r="AL85" i="20"/>
  <c r="AM85" i="20"/>
  <c r="AN85" i="20"/>
  <c r="AO85" i="20"/>
  <c r="AK86" i="20"/>
  <c r="AL86" i="20"/>
  <c r="AM86" i="20"/>
  <c r="AN86" i="20"/>
  <c r="AO86" i="20"/>
  <c r="AK87" i="20"/>
  <c r="AL87" i="20"/>
  <c r="AM87" i="20"/>
  <c r="AN87" i="20"/>
  <c r="AO87" i="20"/>
  <c r="AK88" i="20"/>
  <c r="AL88" i="20"/>
  <c r="AM88" i="20"/>
  <c r="AN88" i="20"/>
  <c r="AO88" i="20"/>
  <c r="AK89" i="20"/>
  <c r="AL89" i="20"/>
  <c r="AM89" i="20"/>
  <c r="AN89" i="20"/>
  <c r="AO89" i="20"/>
  <c r="AK90" i="20"/>
  <c r="AL90" i="20"/>
  <c r="AM90" i="20"/>
  <c r="AN90" i="20"/>
  <c r="AO90" i="20"/>
  <c r="AK91" i="20"/>
  <c r="AL91" i="20"/>
  <c r="AM91" i="20"/>
  <c r="AN91" i="20"/>
  <c r="AO91" i="20"/>
  <c r="AK92" i="20"/>
  <c r="AL92" i="20"/>
  <c r="AM92" i="20"/>
  <c r="AN92" i="20"/>
  <c r="AO92" i="20"/>
  <c r="AK93" i="20"/>
  <c r="AL93" i="20"/>
  <c r="AM93" i="20"/>
  <c r="AN93" i="20"/>
  <c r="AO93" i="20"/>
  <c r="AK94" i="20"/>
  <c r="AL94" i="20"/>
  <c r="AM94" i="20"/>
  <c r="AN94" i="20"/>
  <c r="AO94" i="20"/>
  <c r="AU2" i="13"/>
  <c r="AU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D25" i="14"/>
  <c r="R44" i="27"/>
  <c r="S32" i="27"/>
  <c r="R55" i="27"/>
  <c r="S9" i="27"/>
  <c r="S20" i="27"/>
  <c r="R32" i="27"/>
  <c r="Z8" i="14"/>
  <c r="R9" i="27"/>
  <c r="R20" i="27"/>
  <c r="AQ12" i="13" l="1"/>
  <c r="AR12" i="13" s="1"/>
  <c r="AT12" i="13" s="1"/>
  <c r="AB12" i="13"/>
  <c r="J14" i="13"/>
  <c r="AR11" i="13"/>
  <c r="G5" i="30"/>
  <c r="G9" i="30"/>
  <c r="G12" i="30"/>
  <c r="S24" i="27"/>
  <c r="G10" i="30"/>
  <c r="G11" i="30"/>
  <c r="S13" i="27"/>
  <c r="G13" i="30" s="1"/>
  <c r="S36" i="27"/>
  <c r="S55" i="27"/>
  <c r="S44" i="27"/>
  <c r="T20" i="27"/>
  <c r="T32" i="27"/>
  <c r="T9" i="27"/>
  <c r="AQ4" i="20"/>
  <c r="AT3" i="20"/>
  <c r="AS3" i="20"/>
  <c r="AX3" i="20" s="1"/>
  <c r="AR3" i="20"/>
  <c r="AW3" i="20" s="1"/>
  <c r="AQ3" i="20"/>
  <c r="AV3" i="20" s="1"/>
  <c r="AP3" i="20"/>
  <c r="AU3" i="20" s="1"/>
  <c r="AY2" i="20"/>
  <c r="AW2" i="20"/>
  <c r="AV2" i="20"/>
  <c r="AU2" i="20"/>
  <c r="AB25" i="14"/>
  <c r="AD8" i="14"/>
  <c r="J15" i="13" l="1"/>
  <c r="R14" i="13" s="1"/>
  <c r="W14" i="13" s="1"/>
  <c r="R13" i="13"/>
  <c r="W13" i="13" s="1"/>
  <c r="AT11" i="13"/>
  <c r="AP4" i="20"/>
  <c r="AU4" i="20" s="1"/>
  <c r="AR4" i="20"/>
  <c r="AW4" i="20" s="1"/>
  <c r="Z15" i="30"/>
  <c r="AA15" i="30" s="1"/>
  <c r="S20" i="30"/>
  <c r="T20" i="30" s="1"/>
  <c r="Z8" i="30"/>
  <c r="AA8" i="30" s="1"/>
  <c r="S18" i="30"/>
  <c r="T18" i="30" s="1"/>
  <c r="Z16" i="30"/>
  <c r="AA16" i="30" s="1"/>
  <c r="S8" i="30"/>
  <c r="T8" i="30" s="1"/>
  <c r="S14" i="30"/>
  <c r="T14" i="30" s="1"/>
  <c r="S17" i="30"/>
  <c r="T17" i="30" s="1"/>
  <c r="S16" i="30"/>
  <c r="T16" i="30" s="1"/>
  <c r="S7" i="30"/>
  <c r="T7" i="30" s="1"/>
  <c r="S19" i="30"/>
  <c r="T19" i="30" s="1"/>
  <c r="S15" i="30"/>
  <c r="T15" i="30" s="1"/>
  <c r="Z20" i="30"/>
  <c r="AA20" i="30" s="1"/>
  <c r="Z17" i="30"/>
  <c r="AA17" i="30" s="1"/>
  <c r="Z18" i="30"/>
  <c r="AA18" i="30" s="1"/>
  <c r="Z19" i="30"/>
  <c r="AA19" i="30" s="1"/>
  <c r="Z7" i="30"/>
  <c r="AA7" i="30" s="1"/>
  <c r="Q5" i="30"/>
  <c r="S6" i="30"/>
  <c r="T6" i="30" s="1"/>
  <c r="Z14" i="30"/>
  <c r="AA14" i="30" s="1"/>
  <c r="Z6" i="30"/>
  <c r="AA6" i="30" s="1"/>
  <c r="T24" i="27"/>
  <c r="S10" i="30"/>
  <c r="T10" i="30" s="1"/>
  <c r="W10" i="30"/>
  <c r="X10" i="30" s="1"/>
  <c r="Q10" i="30"/>
  <c r="S11" i="30"/>
  <c r="T11" i="30" s="1"/>
  <c r="W11" i="30"/>
  <c r="X11" i="30" s="1"/>
  <c r="Q11" i="30"/>
  <c r="T36" i="27"/>
  <c r="S13" i="30"/>
  <c r="T13" i="30" s="1"/>
  <c r="W13" i="30"/>
  <c r="X13" i="30" s="1"/>
  <c r="Q13" i="30"/>
  <c r="S12" i="30"/>
  <c r="T12" i="30" s="1"/>
  <c r="W12" i="30"/>
  <c r="X12" i="30" s="1"/>
  <c r="Q12" i="30"/>
  <c r="S9" i="30"/>
  <c r="T9" i="30" s="1"/>
  <c r="W9" i="30"/>
  <c r="X9" i="30" s="1"/>
  <c r="Q9" i="30"/>
  <c r="T13" i="27"/>
  <c r="AC25" i="14"/>
  <c r="AA8" i="14"/>
  <c r="H82" i="27"/>
  <c r="H86" i="27" s="1"/>
  <c r="I86" i="27" s="1"/>
  <c r="AV4" i="20"/>
  <c r="AQ5" i="20"/>
  <c r="AY3" i="20"/>
  <c r="AT4" i="20"/>
  <c r="AS4" i="20"/>
  <c r="AX4" i="20" s="1"/>
  <c r="AP5" i="20"/>
  <c r="AQ13" i="13" l="1"/>
  <c r="AB13" i="13"/>
  <c r="AB14" i="13"/>
  <c r="AQ14" i="13"/>
  <c r="AR14" i="13" s="1"/>
  <c r="AT14" i="13" s="1"/>
  <c r="J16" i="13"/>
  <c r="R15" i="13"/>
  <c r="W15" i="13" s="1"/>
  <c r="AR5" i="20"/>
  <c r="AR6" i="20" s="1"/>
  <c r="Z11" i="30"/>
  <c r="AA11" i="30" s="1"/>
  <c r="Z12" i="30"/>
  <c r="AA12" i="30" s="1"/>
  <c r="Z13" i="30"/>
  <c r="AA13" i="30" s="1"/>
  <c r="Z9" i="30"/>
  <c r="AA9" i="30" s="1"/>
  <c r="Z10" i="30"/>
  <c r="AA10" i="30" s="1"/>
  <c r="AS5" i="20"/>
  <c r="AX5" i="20" s="1"/>
  <c r="AT5" i="20"/>
  <c r="AY4" i="20"/>
  <c r="AU5" i="20"/>
  <c r="AP6" i="20"/>
  <c r="AQ6" i="20"/>
  <c r="AV5" i="20"/>
  <c r="AQ15" i="13" l="1"/>
  <c r="AR15" i="13" s="1"/>
  <c r="AT15" i="13" s="1"/>
  <c r="AB15" i="13"/>
  <c r="J17" i="13"/>
  <c r="R16" i="13" s="1"/>
  <c r="W16" i="13" s="1"/>
  <c r="AR13" i="13"/>
  <c r="AW5" i="20"/>
  <c r="AP7" i="20"/>
  <c r="AU6" i="20"/>
  <c r="AY5" i="20"/>
  <c r="AT6" i="20"/>
  <c r="AW6" i="20"/>
  <c r="AR7" i="20"/>
  <c r="AQ7" i="20"/>
  <c r="AV6" i="20"/>
  <c r="AS6" i="20"/>
  <c r="AX6" i="20" s="1"/>
  <c r="AB16" i="13" l="1"/>
  <c r="AQ16" i="13"/>
  <c r="AT13" i="13"/>
  <c r="J18" i="13"/>
  <c r="AV7" i="20"/>
  <c r="AQ8" i="20"/>
  <c r="AW7" i="20"/>
  <c r="AR8" i="20"/>
  <c r="AY6" i="20"/>
  <c r="AT7" i="20"/>
  <c r="AS7" i="20"/>
  <c r="AX7" i="20" s="1"/>
  <c r="AU7" i="20"/>
  <c r="AP8" i="20"/>
  <c r="J19" i="13" l="1"/>
  <c r="R17" i="13"/>
  <c r="W17" i="13" s="1"/>
  <c r="AR16" i="13"/>
  <c r="AY7" i="20"/>
  <c r="AT8" i="20"/>
  <c r="AW8" i="20"/>
  <c r="AR9" i="20"/>
  <c r="AU8" i="20"/>
  <c r="AP9" i="20"/>
  <c r="AV8" i="20"/>
  <c r="AQ9" i="20"/>
  <c r="AS8" i="20"/>
  <c r="AX8" i="20" s="1"/>
  <c r="J20" i="13" l="1"/>
  <c r="R19" i="13" s="1"/>
  <c r="W19" i="13" s="1"/>
  <c r="AQ17" i="13"/>
  <c r="AB17" i="13"/>
  <c r="AT16" i="13"/>
  <c r="R18" i="13"/>
  <c r="W18" i="13" s="1"/>
  <c r="AQ10" i="20"/>
  <c r="AV9" i="20"/>
  <c r="AU9" i="20"/>
  <c r="AP10" i="20"/>
  <c r="AR10" i="20"/>
  <c r="AW9" i="20"/>
  <c r="AS9" i="20"/>
  <c r="AX9" i="20" s="1"/>
  <c r="AT9" i="20"/>
  <c r="AY8" i="20"/>
  <c r="AQ19" i="13" l="1"/>
  <c r="AR19" i="13" s="1"/>
  <c r="AT19" i="13" s="1"/>
  <c r="AB19" i="13"/>
  <c r="AB18" i="13"/>
  <c r="AQ18" i="13"/>
  <c r="AR18" i="13" s="1"/>
  <c r="AT18" i="13" s="1"/>
  <c r="AR17" i="13"/>
  <c r="J21" i="13"/>
  <c r="R20" i="13" s="1"/>
  <c r="W20" i="13" s="1"/>
  <c r="AW10" i="20"/>
  <c r="AR11" i="20"/>
  <c r="AP11" i="20"/>
  <c r="AU10" i="20"/>
  <c r="AS10" i="20"/>
  <c r="AX10" i="20" s="1"/>
  <c r="AY9" i="20"/>
  <c r="AT10" i="20"/>
  <c r="AQ11" i="20"/>
  <c r="AV10" i="20"/>
  <c r="AQ20" i="13" l="1"/>
  <c r="AR20" i="13" s="1"/>
  <c r="AT20" i="13" s="1"/>
  <c r="AB20" i="13"/>
  <c r="J22" i="13"/>
  <c r="R21" i="13"/>
  <c r="W21" i="13" s="1"/>
  <c r="AT17" i="13"/>
  <c r="AY10" i="20"/>
  <c r="AT11" i="20"/>
  <c r="AS11" i="20"/>
  <c r="AX11" i="20" s="1"/>
  <c r="AU11" i="20"/>
  <c r="AP12" i="20"/>
  <c r="AW11" i="20"/>
  <c r="AR12" i="20"/>
  <c r="AV11" i="20"/>
  <c r="AQ12" i="20"/>
  <c r="AQ21" i="13" l="1"/>
  <c r="AR21" i="13" s="1"/>
  <c r="AT21" i="13" s="1"/>
  <c r="AB21" i="13"/>
  <c r="J23" i="13"/>
  <c r="R22" i="13"/>
  <c r="W22" i="13" s="1"/>
  <c r="AW12" i="20"/>
  <c r="AR13" i="20"/>
  <c r="AU12" i="20"/>
  <c r="AP13" i="20"/>
  <c r="AS12" i="20"/>
  <c r="AX12" i="20" s="1"/>
  <c r="AV12" i="20"/>
  <c r="AQ13" i="20"/>
  <c r="AY11" i="20"/>
  <c r="AT12" i="20"/>
  <c r="AQ22" i="13" l="1"/>
  <c r="AR22" i="13" s="1"/>
  <c r="AT22" i="13" s="1"/>
  <c r="AB22" i="13"/>
  <c r="J24" i="13"/>
  <c r="R23" i="13"/>
  <c r="W23" i="13" s="1"/>
  <c r="AQ14" i="20"/>
  <c r="AV13" i="20"/>
  <c r="AS13" i="20"/>
  <c r="AX13" i="20" s="1"/>
  <c r="AU13" i="20"/>
  <c r="AP14" i="20"/>
  <c r="AT13" i="20"/>
  <c r="AY12" i="20"/>
  <c r="AR14" i="20"/>
  <c r="AW13" i="20"/>
  <c r="AQ23" i="13" l="1"/>
  <c r="AR23" i="13" s="1"/>
  <c r="AT23" i="13" s="1"/>
  <c r="AB23" i="13"/>
  <c r="J25" i="13"/>
  <c r="R24" i="13" s="1"/>
  <c r="W24" i="13" s="1"/>
  <c r="AP15" i="20"/>
  <c r="AU14" i="20"/>
  <c r="AY13" i="20"/>
  <c r="AT14" i="20"/>
  <c r="AS14" i="20"/>
  <c r="AX14" i="20" s="1"/>
  <c r="AW14" i="20"/>
  <c r="AR15" i="20"/>
  <c r="AQ15" i="20"/>
  <c r="AV14" i="20"/>
  <c r="AQ24" i="13" l="1"/>
  <c r="AR24" i="13" s="1"/>
  <c r="AT24" i="13" s="1"/>
  <c r="AB24" i="13"/>
  <c r="J26" i="13"/>
  <c r="R25" i="13"/>
  <c r="W25" i="13" s="1"/>
  <c r="AW15" i="20"/>
  <c r="AR16" i="20"/>
  <c r="AY14" i="20"/>
  <c r="AT15" i="20"/>
  <c r="AS15" i="20"/>
  <c r="AX15" i="20" s="1"/>
  <c r="AV15" i="20"/>
  <c r="AQ16" i="20"/>
  <c r="AU15" i="20"/>
  <c r="AP16" i="20"/>
  <c r="AQ25" i="13" l="1"/>
  <c r="AR25" i="13" s="1"/>
  <c r="AT25" i="13" s="1"/>
  <c r="AB25" i="13"/>
  <c r="J27" i="13"/>
  <c r="R26" i="13" s="1"/>
  <c r="W26" i="13" s="1"/>
  <c r="AV16" i="20"/>
  <c r="AQ17" i="20"/>
  <c r="AY15" i="20"/>
  <c r="AT16" i="20"/>
  <c r="AS16" i="20"/>
  <c r="AX16" i="20" s="1"/>
  <c r="AU16" i="20"/>
  <c r="AP17" i="20"/>
  <c r="AW16" i="20"/>
  <c r="AR17" i="20"/>
  <c r="AQ26" i="13" l="1"/>
  <c r="AR26" i="13" s="1"/>
  <c r="AT26" i="13" s="1"/>
  <c r="AB26" i="13"/>
  <c r="J28" i="13"/>
  <c r="R27" i="13" s="1"/>
  <c r="W27" i="13" s="1"/>
  <c r="AU17" i="20"/>
  <c r="AP18" i="20"/>
  <c r="AR18" i="20"/>
  <c r="AW17" i="20"/>
  <c r="AS17" i="20"/>
  <c r="AX17" i="20" s="1"/>
  <c r="AT17" i="20"/>
  <c r="AY16" i="20"/>
  <c r="AQ18" i="20"/>
  <c r="AV17" i="20"/>
  <c r="AB27" i="13" l="1"/>
  <c r="AQ27" i="13"/>
  <c r="AR27" i="13" s="1"/>
  <c r="AT27" i="13" s="1"/>
  <c r="J29" i="13"/>
  <c r="R28" i="13"/>
  <c r="W28" i="13" s="1"/>
  <c r="AQ19" i="20"/>
  <c r="AV18" i="20"/>
  <c r="AY17" i="20"/>
  <c r="AT18" i="20"/>
  <c r="AS18" i="20"/>
  <c r="AX18" i="20" s="1"/>
  <c r="AW18" i="20"/>
  <c r="AR19" i="20"/>
  <c r="AP19" i="20"/>
  <c r="AU18" i="20"/>
  <c r="AB28" i="13" l="1"/>
  <c r="AQ28" i="13"/>
  <c r="AR28" i="13" s="1"/>
  <c r="AT28" i="13" s="1"/>
  <c r="J30" i="13"/>
  <c r="R29" i="13"/>
  <c r="W29" i="13" s="1"/>
  <c r="AW19" i="20"/>
  <c r="AR20" i="20"/>
  <c r="AS19" i="20"/>
  <c r="AX19" i="20" s="1"/>
  <c r="AY18" i="20"/>
  <c r="AT19" i="20"/>
  <c r="AU19" i="20"/>
  <c r="AP20" i="20"/>
  <c r="AV19" i="20"/>
  <c r="AQ20" i="20"/>
  <c r="AB29" i="13" l="1"/>
  <c r="AQ29" i="13"/>
  <c r="AR29" i="13" s="1"/>
  <c r="AT29" i="13" s="1"/>
  <c r="J31" i="13"/>
  <c r="R30" i="13"/>
  <c r="W30" i="13" s="1"/>
  <c r="AU20" i="20"/>
  <c r="AP21" i="20"/>
  <c r="AY19" i="20"/>
  <c r="AT20" i="20"/>
  <c r="AS20" i="20"/>
  <c r="AX20" i="20" s="1"/>
  <c r="AV20" i="20"/>
  <c r="AQ21" i="20"/>
  <c r="AW20" i="20"/>
  <c r="AR21" i="20"/>
  <c r="AQ30" i="13" l="1"/>
  <c r="AR30" i="13" s="1"/>
  <c r="AT30" i="13" s="1"/>
  <c r="AB30" i="13"/>
  <c r="J32" i="13"/>
  <c r="R31" i="13"/>
  <c r="W31" i="13" s="1"/>
  <c r="AR22" i="20"/>
  <c r="AW21" i="20"/>
  <c r="AQ22" i="20"/>
  <c r="AV21" i="20"/>
  <c r="AS21" i="20"/>
  <c r="AX21" i="20" s="1"/>
  <c r="AT21" i="20"/>
  <c r="AY20" i="20"/>
  <c r="AU21" i="20"/>
  <c r="AP22" i="20"/>
  <c r="AB31" i="13" l="1"/>
  <c r="AQ31" i="13"/>
  <c r="AR31" i="13" s="1"/>
  <c r="AT31" i="13" s="1"/>
  <c r="J33" i="13"/>
  <c r="R32" i="13"/>
  <c r="W32" i="13" s="1"/>
  <c r="AW22" i="20"/>
  <c r="AR23" i="20"/>
  <c r="AY21" i="20"/>
  <c r="AT22" i="20"/>
  <c r="AS22" i="20"/>
  <c r="AX22" i="20" s="1"/>
  <c r="AQ23" i="20"/>
  <c r="AV22" i="20"/>
  <c r="AP23" i="20"/>
  <c r="AU22" i="20"/>
  <c r="J34" i="13" l="1"/>
  <c r="R33" i="13" s="1"/>
  <c r="W33" i="13" s="1"/>
  <c r="AQ32" i="13"/>
  <c r="AR32" i="13" s="1"/>
  <c r="AT32" i="13" s="1"/>
  <c r="AB32" i="13"/>
  <c r="AW23" i="20"/>
  <c r="AR24" i="20"/>
  <c r="AU23" i="20"/>
  <c r="AP24" i="20"/>
  <c r="AV23" i="20"/>
  <c r="AQ24" i="20"/>
  <c r="AS23" i="20"/>
  <c r="AX23" i="20" s="1"/>
  <c r="AY22" i="20"/>
  <c r="AT23" i="20"/>
  <c r="AQ33" i="13" l="1"/>
  <c r="AR33" i="13" s="1"/>
  <c r="AT33" i="13" s="1"/>
  <c r="AB33" i="13"/>
  <c r="J35" i="13"/>
  <c r="R34" i="13"/>
  <c r="W34" i="13" s="1"/>
  <c r="AU24" i="20"/>
  <c r="AP25" i="20"/>
  <c r="AV24" i="20"/>
  <c r="AQ25" i="20"/>
  <c r="AY23" i="20"/>
  <c r="AT24" i="20"/>
  <c r="AW24" i="20"/>
  <c r="AR25" i="20"/>
  <c r="AS24" i="20"/>
  <c r="AX24" i="20" s="1"/>
  <c r="AQ34" i="13" l="1"/>
  <c r="AR34" i="13" s="1"/>
  <c r="AT34" i="13" s="1"/>
  <c r="AB34" i="13"/>
  <c r="J36" i="13"/>
  <c r="R35" i="13" s="1"/>
  <c r="W35" i="13" s="1"/>
  <c r="AS25" i="20"/>
  <c r="AX25" i="20" s="1"/>
  <c r="AR26" i="20"/>
  <c r="AW25" i="20"/>
  <c r="AT25" i="20"/>
  <c r="AY24" i="20"/>
  <c r="AU25" i="20"/>
  <c r="AP26" i="20"/>
  <c r="AQ26" i="20"/>
  <c r="AV25" i="20"/>
  <c r="AQ35" i="13" l="1"/>
  <c r="AR35" i="13" s="1"/>
  <c r="AT35" i="13" s="1"/>
  <c r="AB35" i="13"/>
  <c r="J37" i="13"/>
  <c r="R36" i="13"/>
  <c r="W36" i="13" s="1"/>
  <c r="AP27" i="20"/>
  <c r="AU26" i="20"/>
  <c r="AY25" i="20"/>
  <c r="AT26" i="20"/>
  <c r="AW26" i="20"/>
  <c r="AR27" i="20"/>
  <c r="AQ27" i="20"/>
  <c r="AV26" i="20"/>
  <c r="AS26" i="20"/>
  <c r="AX26" i="20" s="1"/>
  <c r="AQ36" i="13" l="1"/>
  <c r="AR36" i="13" s="1"/>
  <c r="AT36" i="13" s="1"/>
  <c r="AB36" i="13"/>
  <c r="J38" i="13"/>
  <c r="R37" i="13"/>
  <c r="W37" i="13" s="1"/>
  <c r="AW27" i="20"/>
  <c r="AR28" i="20"/>
  <c r="AQ28" i="20"/>
  <c r="AV27" i="20"/>
  <c r="AY26" i="20"/>
  <c r="AT27" i="20"/>
  <c r="AS27" i="20"/>
  <c r="AX27" i="20" s="1"/>
  <c r="AU27" i="20"/>
  <c r="AP28" i="20"/>
  <c r="AB37" i="13" l="1"/>
  <c r="AQ37" i="13"/>
  <c r="AR37" i="13" s="1"/>
  <c r="AT37" i="13" s="1"/>
  <c r="J39" i="13"/>
  <c r="R38" i="13"/>
  <c r="W38" i="13" s="1"/>
  <c r="AS28" i="20"/>
  <c r="AX28" i="20" s="1"/>
  <c r="AY27" i="20"/>
  <c r="AT28" i="20"/>
  <c r="AV28" i="20"/>
  <c r="AQ29" i="20"/>
  <c r="AU28" i="20"/>
  <c r="AP29" i="20"/>
  <c r="AW28" i="20"/>
  <c r="AR29" i="20"/>
  <c r="AQ38" i="13" l="1"/>
  <c r="AR38" i="13" s="1"/>
  <c r="AT38" i="13" s="1"/>
  <c r="AB38" i="13"/>
  <c r="J40" i="13"/>
  <c r="R39" i="13" s="1"/>
  <c r="W39" i="13" s="1"/>
  <c r="AP30" i="20"/>
  <c r="AU29" i="20"/>
  <c r="AQ30" i="20"/>
  <c r="AV29" i="20"/>
  <c r="AT29" i="20"/>
  <c r="AY28" i="20"/>
  <c r="AR30" i="20"/>
  <c r="AW29" i="20"/>
  <c r="AS29" i="20"/>
  <c r="AX29" i="20" s="1"/>
  <c r="AB39" i="13" l="1"/>
  <c r="AQ39" i="13"/>
  <c r="AR39" i="13" s="1"/>
  <c r="AT39" i="13" s="1"/>
  <c r="J41" i="13"/>
  <c r="R40" i="13"/>
  <c r="W40" i="13" s="1"/>
  <c r="AR31" i="20"/>
  <c r="AW30" i="20"/>
  <c r="AT30" i="20"/>
  <c r="AY29" i="20"/>
  <c r="AQ31" i="20"/>
  <c r="AV30" i="20"/>
  <c r="AS30" i="20"/>
  <c r="AX30" i="20" s="1"/>
  <c r="AP31" i="20"/>
  <c r="AU30" i="20"/>
  <c r="AQ40" i="13" l="1"/>
  <c r="AR40" i="13" s="1"/>
  <c r="AT40" i="13" s="1"/>
  <c r="AB40" i="13"/>
  <c r="J42" i="13"/>
  <c r="R41" i="13"/>
  <c r="W41" i="13" s="1"/>
  <c r="AQ32" i="20"/>
  <c r="AV31" i="20"/>
  <c r="AY30" i="20"/>
  <c r="AT31" i="20"/>
  <c r="AS31" i="20"/>
  <c r="AX31" i="20" s="1"/>
  <c r="AU31" i="20"/>
  <c r="AP32" i="20"/>
  <c r="AW31" i="20"/>
  <c r="AR32" i="20"/>
  <c r="AQ41" i="13" l="1"/>
  <c r="AR41" i="13" s="1"/>
  <c r="AT41" i="13" s="1"/>
  <c r="AB41" i="13"/>
  <c r="J43" i="13"/>
  <c r="R42" i="13"/>
  <c r="W42" i="13" s="1"/>
  <c r="AW32" i="20"/>
  <c r="AR33" i="20"/>
  <c r="AV32" i="20"/>
  <c r="AQ33" i="20"/>
  <c r="AU32" i="20"/>
  <c r="AP33" i="20"/>
  <c r="AS32" i="20"/>
  <c r="AX32" i="20" s="1"/>
  <c r="AT32" i="20"/>
  <c r="AY31" i="20"/>
  <c r="AQ42" i="13" l="1"/>
  <c r="AR42" i="13" s="1"/>
  <c r="AT42" i="13" s="1"/>
  <c r="AB42" i="13"/>
  <c r="J44" i="13"/>
  <c r="R43" i="13" s="1"/>
  <c r="W43" i="13" s="1"/>
  <c r="AS33" i="20"/>
  <c r="AX33" i="20" s="1"/>
  <c r="AP34" i="20"/>
  <c r="AU33" i="20"/>
  <c r="AQ34" i="20"/>
  <c r="AV33" i="20"/>
  <c r="AR34" i="20"/>
  <c r="AW33" i="20"/>
  <c r="AT33" i="20"/>
  <c r="AY32" i="20"/>
  <c r="AQ43" i="13" l="1"/>
  <c r="AR43" i="13" s="1"/>
  <c r="AT43" i="13" s="1"/>
  <c r="AB43" i="13"/>
  <c r="J45" i="13"/>
  <c r="J46" i="13" s="1"/>
  <c r="R44" i="13"/>
  <c r="AR35" i="20"/>
  <c r="AW34" i="20"/>
  <c r="AQ35" i="20"/>
  <c r="AV34" i="20"/>
  <c r="AP35" i="20"/>
  <c r="AU34" i="20"/>
  <c r="AY33" i="20"/>
  <c r="AT34" i="20"/>
  <c r="AS34" i="20"/>
  <c r="AX34" i="20" s="1"/>
  <c r="W44" i="13" l="1"/>
  <c r="R98" i="13"/>
  <c r="R45" i="13"/>
  <c r="W45" i="13" s="1"/>
  <c r="J47" i="13"/>
  <c r="R46" i="13" s="1"/>
  <c r="W46" i="13" s="1"/>
  <c r="AS35" i="20"/>
  <c r="AX35" i="20" s="1"/>
  <c r="AW35" i="20"/>
  <c r="AR36" i="20"/>
  <c r="AY34" i="20"/>
  <c r="AT35" i="20"/>
  <c r="AU35" i="20"/>
  <c r="AP36" i="20"/>
  <c r="AQ36" i="20"/>
  <c r="AV35" i="20"/>
  <c r="AQ45" i="13" l="1"/>
  <c r="AR45" i="13" s="1"/>
  <c r="AT45" i="13" s="1"/>
  <c r="AB45" i="13"/>
  <c r="AQ46" i="13"/>
  <c r="AR46" i="13" s="1"/>
  <c r="AB46" i="13"/>
  <c r="J48" i="13"/>
  <c r="R47" i="13"/>
  <c r="W47" i="13" s="1"/>
  <c r="AQ44" i="13"/>
  <c r="AR44" i="13" s="1"/>
  <c r="AT44" i="13" s="1"/>
  <c r="AB44" i="13"/>
  <c r="AU36" i="20"/>
  <c r="AP37" i="20"/>
  <c r="AT36" i="20"/>
  <c r="AY35" i="20"/>
  <c r="AW36" i="20"/>
  <c r="AR37" i="20"/>
  <c r="AV36" i="20"/>
  <c r="AQ37" i="20"/>
  <c r="AS36" i="20"/>
  <c r="AX36" i="20" s="1"/>
  <c r="AQ47" i="13" l="1"/>
  <c r="AR47" i="13" s="1"/>
  <c r="AT47" i="13" s="1"/>
  <c r="AB47" i="13"/>
  <c r="J49" i="13"/>
  <c r="AT46" i="13"/>
  <c r="AR100" i="13"/>
  <c r="AQ38" i="20"/>
  <c r="AV37" i="20"/>
  <c r="AR38" i="20"/>
  <c r="AW37" i="20"/>
  <c r="AT37" i="20"/>
  <c r="AY36" i="20"/>
  <c r="AS37" i="20"/>
  <c r="AX37" i="20" s="1"/>
  <c r="AP38" i="20"/>
  <c r="AU37" i="20"/>
  <c r="J50" i="13" l="1"/>
  <c r="J51" i="13" s="1"/>
  <c r="R48" i="13"/>
  <c r="W48" i="13" s="1"/>
  <c r="AP39" i="20"/>
  <c r="AU38" i="20"/>
  <c r="AS38" i="20"/>
  <c r="AX38" i="20" s="1"/>
  <c r="AY37" i="20"/>
  <c r="AT38" i="20"/>
  <c r="AR39" i="20"/>
  <c r="AW38" i="20"/>
  <c r="AQ39" i="20"/>
  <c r="AV38" i="20"/>
  <c r="R49" i="13" l="1"/>
  <c r="W49" i="13" s="1"/>
  <c r="AB49" i="13" s="1"/>
  <c r="AQ48" i="13"/>
  <c r="AR48" i="13" s="1"/>
  <c r="AT48" i="13" s="1"/>
  <c r="AB48" i="13"/>
  <c r="R50" i="13"/>
  <c r="W50" i="13" s="1"/>
  <c r="J52" i="13"/>
  <c r="R51" i="13" s="1"/>
  <c r="W51" i="13" s="1"/>
  <c r="AW39" i="20"/>
  <c r="AR40" i="20"/>
  <c r="AY38" i="20"/>
  <c r="AT39" i="20"/>
  <c r="AS39" i="20"/>
  <c r="AX39" i="20" s="1"/>
  <c r="AQ40" i="20"/>
  <c r="AV39" i="20"/>
  <c r="AP40" i="20"/>
  <c r="AU39" i="20"/>
  <c r="AQ49" i="13" l="1"/>
  <c r="AR49" i="13" s="1"/>
  <c r="AT49" i="13" s="1"/>
  <c r="AQ50" i="13"/>
  <c r="AR50" i="13" s="1"/>
  <c r="AT50" i="13" s="1"/>
  <c r="AB50" i="13"/>
  <c r="AQ51" i="13"/>
  <c r="AR51" i="13" s="1"/>
  <c r="AT51" i="13" s="1"/>
  <c r="AB51" i="13"/>
  <c r="R52" i="13"/>
  <c r="W52" i="13" s="1"/>
  <c r="AV40" i="20"/>
  <c r="AQ41" i="20"/>
  <c r="AS40" i="20"/>
  <c r="AX40" i="20" s="1"/>
  <c r="AT40" i="20"/>
  <c r="AY39" i="20"/>
  <c r="AW40" i="20"/>
  <c r="AR41" i="20"/>
  <c r="AU40" i="20"/>
  <c r="AP41" i="20"/>
  <c r="AQ52" i="13" l="1"/>
  <c r="AR52" i="13" s="1"/>
  <c r="AT52" i="13" s="1"/>
  <c r="AB52" i="13"/>
  <c r="R53" i="13"/>
  <c r="W53" i="13" s="1"/>
  <c r="AR42" i="20"/>
  <c r="AW41" i="20"/>
  <c r="AT41" i="20"/>
  <c r="AY40" i="20"/>
  <c r="AS41" i="20"/>
  <c r="AX41" i="20" s="1"/>
  <c r="AU41" i="20"/>
  <c r="AP42" i="20"/>
  <c r="AQ42" i="20"/>
  <c r="AV41" i="20"/>
  <c r="AQ53" i="13" l="1"/>
  <c r="AR53" i="13" s="1"/>
  <c r="AT53" i="13" s="1"/>
  <c r="AB53" i="13"/>
  <c r="R54" i="13"/>
  <c r="W54" i="13" s="1"/>
  <c r="AS42" i="20"/>
  <c r="AX42" i="20" s="1"/>
  <c r="AY41" i="20"/>
  <c r="AT42" i="20"/>
  <c r="AP43" i="20"/>
  <c r="AU42" i="20"/>
  <c r="AQ43" i="20"/>
  <c r="AV42" i="20"/>
  <c r="AR43" i="20"/>
  <c r="AW42" i="20"/>
  <c r="AB54" i="13" l="1"/>
  <c r="AQ54" i="13"/>
  <c r="AR54" i="13" s="1"/>
  <c r="AT54" i="13" s="1"/>
  <c r="R55" i="13"/>
  <c r="W55" i="13" s="1"/>
  <c r="AY42" i="20"/>
  <c r="AT43" i="20"/>
  <c r="AQ44" i="20"/>
  <c r="AV43" i="20"/>
  <c r="AP44" i="20"/>
  <c r="AU43" i="20"/>
  <c r="AS43" i="20"/>
  <c r="AX43" i="20" s="1"/>
  <c r="AW43" i="20"/>
  <c r="AR44" i="20"/>
  <c r="AB55" i="13" l="1"/>
  <c r="AQ55" i="13"/>
  <c r="AR55" i="13" s="1"/>
  <c r="AT55" i="13" s="1"/>
  <c r="R56" i="13"/>
  <c r="W56" i="13" s="1"/>
  <c r="AS44" i="20"/>
  <c r="AX44" i="20" s="1"/>
  <c r="AU44" i="20"/>
  <c r="AP45" i="20"/>
  <c r="AV44" i="20"/>
  <c r="AQ45" i="20"/>
  <c r="AR45" i="20"/>
  <c r="AW44" i="20"/>
  <c r="AT44" i="20"/>
  <c r="AY43" i="20"/>
  <c r="R57" i="13" l="1"/>
  <c r="W57" i="13" s="1"/>
  <c r="AQ56" i="13"/>
  <c r="AR56" i="13" s="1"/>
  <c r="AT56" i="13" s="1"/>
  <c r="AB56" i="13"/>
  <c r="AR46" i="20"/>
  <c r="AW45" i="20"/>
  <c r="AQ46" i="20"/>
  <c r="AV45" i="20"/>
  <c r="AU45" i="20"/>
  <c r="AP46" i="20"/>
  <c r="AS45" i="20"/>
  <c r="AX45" i="20" s="1"/>
  <c r="AT45" i="20"/>
  <c r="AY44" i="20"/>
  <c r="AQ57" i="13" l="1"/>
  <c r="AR57" i="13" s="1"/>
  <c r="AT57" i="13" s="1"/>
  <c r="AB57" i="13"/>
  <c r="R58" i="13"/>
  <c r="W58" i="13" s="1"/>
  <c r="AS46" i="20"/>
  <c r="AX46" i="20" s="1"/>
  <c r="AQ47" i="20"/>
  <c r="AV46" i="20"/>
  <c r="AP47" i="20"/>
  <c r="AU46" i="20"/>
  <c r="AT46" i="20"/>
  <c r="AY45" i="20"/>
  <c r="AW46" i="20"/>
  <c r="AR47" i="20"/>
  <c r="AQ58" i="13" l="1"/>
  <c r="AR58" i="13" s="1"/>
  <c r="AT58" i="13" s="1"/>
  <c r="AB58" i="13"/>
  <c r="R59" i="13"/>
  <c r="W59" i="13" s="1"/>
  <c r="AY46" i="20"/>
  <c r="AT47" i="20"/>
  <c r="AU47" i="20"/>
  <c r="AP48" i="20"/>
  <c r="AQ48" i="20"/>
  <c r="AV47" i="20"/>
  <c r="AW47" i="20"/>
  <c r="AR48" i="20"/>
  <c r="AS47" i="20"/>
  <c r="AX47" i="20" s="1"/>
  <c r="AQ59" i="13" l="1"/>
  <c r="AR59" i="13" s="1"/>
  <c r="AT59" i="13" s="1"/>
  <c r="AB59" i="13"/>
  <c r="R60" i="13"/>
  <c r="W60" i="13" s="1"/>
  <c r="AR49" i="20"/>
  <c r="AW48" i="20"/>
  <c r="AU48" i="20"/>
  <c r="AP49" i="20"/>
  <c r="AY47" i="20"/>
  <c r="AT48" i="20"/>
  <c r="AV48" i="20"/>
  <c r="AQ49" i="20"/>
  <c r="AS48" i="20"/>
  <c r="AX48" i="20" s="1"/>
  <c r="AQ60" i="13" l="1"/>
  <c r="AR60" i="13" s="1"/>
  <c r="AT60" i="13" s="1"/>
  <c r="AB60" i="13"/>
  <c r="R61" i="13"/>
  <c r="W61" i="13" s="1"/>
  <c r="AS49" i="20"/>
  <c r="AX49" i="20" s="1"/>
  <c r="AR50" i="20"/>
  <c r="AW49" i="20"/>
  <c r="AQ50" i="20"/>
  <c r="AV49" i="20"/>
  <c r="AT49" i="20"/>
  <c r="AY48" i="20"/>
  <c r="AU49" i="20"/>
  <c r="AP50" i="20"/>
  <c r="AB61" i="13" l="1"/>
  <c r="AQ61" i="13"/>
  <c r="AR61" i="13" s="1"/>
  <c r="AT61" i="13" s="1"/>
  <c r="AT50" i="20"/>
  <c r="AY49" i="20"/>
  <c r="AV50" i="20"/>
  <c r="AQ51" i="20"/>
  <c r="AR51" i="20"/>
  <c r="AW50" i="20"/>
  <c r="AP51" i="20"/>
  <c r="AU50" i="20"/>
  <c r="AS50" i="20"/>
  <c r="AX50" i="20" s="1"/>
  <c r="R63" i="13" l="1"/>
  <c r="W63" i="13" s="1"/>
  <c r="R62" i="13"/>
  <c r="W62" i="13" s="1"/>
  <c r="AP52" i="20"/>
  <c r="AU51" i="20"/>
  <c r="AW51" i="20"/>
  <c r="AR52" i="20"/>
  <c r="AQ52" i="20"/>
  <c r="AV51" i="20"/>
  <c r="AS51" i="20"/>
  <c r="AX51" i="20" s="1"/>
  <c r="AY50" i="20"/>
  <c r="AT51" i="20"/>
  <c r="AQ62" i="13" l="1"/>
  <c r="AR62" i="13" s="1"/>
  <c r="AT62" i="13" s="1"/>
  <c r="AB62" i="13"/>
  <c r="AQ63" i="13"/>
  <c r="AR63" i="13" s="1"/>
  <c r="AT63" i="13" s="1"/>
  <c r="AB63" i="13"/>
  <c r="AS52" i="20"/>
  <c r="AX52" i="20" s="1"/>
  <c r="AU52" i="20"/>
  <c r="AP53" i="20"/>
  <c r="AV52" i="20"/>
  <c r="AQ53" i="20"/>
  <c r="AW52" i="20"/>
  <c r="AR53" i="20"/>
  <c r="AT52" i="20"/>
  <c r="AY51" i="20"/>
  <c r="R65" i="13" l="1"/>
  <c r="W65" i="13" s="1"/>
  <c r="R64" i="13"/>
  <c r="W64" i="13" s="1"/>
  <c r="AT53" i="20"/>
  <c r="AY52" i="20"/>
  <c r="AR54" i="20"/>
  <c r="AW53" i="20"/>
  <c r="AQ54" i="20"/>
  <c r="AV53" i="20"/>
  <c r="AP54" i="20"/>
  <c r="AU53" i="20"/>
  <c r="AS53" i="20"/>
  <c r="AX53" i="20" s="1"/>
  <c r="AB64" i="13" l="1"/>
  <c r="AQ64" i="13"/>
  <c r="AR64" i="13" s="1"/>
  <c r="AT64" i="13" s="1"/>
  <c r="AB65" i="13"/>
  <c r="AQ65" i="13"/>
  <c r="AR65" i="13" s="1"/>
  <c r="AT65" i="13" s="1"/>
  <c r="R66" i="13"/>
  <c r="W66" i="13" s="1"/>
  <c r="AS54" i="20"/>
  <c r="AX54" i="20" s="1"/>
  <c r="AT54" i="20"/>
  <c r="AY53" i="20"/>
  <c r="AP55" i="20"/>
  <c r="AU54" i="20"/>
  <c r="AV54" i="20"/>
  <c r="AQ55" i="20"/>
  <c r="AR55" i="20"/>
  <c r="AW54" i="20"/>
  <c r="AQ66" i="13" l="1"/>
  <c r="AR66" i="13" s="1"/>
  <c r="AT66" i="13" s="1"/>
  <c r="AB66" i="13"/>
  <c r="R67" i="13"/>
  <c r="W67" i="13" s="1"/>
  <c r="AQ56" i="20"/>
  <c r="AV55" i="20"/>
  <c r="AP56" i="20"/>
  <c r="AU55" i="20"/>
  <c r="AY54" i="20"/>
  <c r="AT55" i="20"/>
  <c r="AS55" i="20"/>
  <c r="AX55" i="20" s="1"/>
  <c r="AW55" i="20"/>
  <c r="AR56" i="20"/>
  <c r="AQ67" i="13" l="1"/>
  <c r="AR67" i="13" s="1"/>
  <c r="AT67" i="13" s="1"/>
  <c r="AB67" i="13"/>
  <c r="R68" i="13"/>
  <c r="W68" i="13" s="1"/>
  <c r="AS56" i="20"/>
  <c r="AX56" i="20" s="1"/>
  <c r="AY55" i="20"/>
  <c r="AT56" i="20"/>
  <c r="AU56" i="20"/>
  <c r="AP57" i="20"/>
  <c r="AR57" i="20"/>
  <c r="AW56" i="20"/>
  <c r="AV56" i="20"/>
  <c r="AQ57" i="20"/>
  <c r="AQ68" i="13" l="1"/>
  <c r="AR68" i="13" s="1"/>
  <c r="AT68" i="13" s="1"/>
  <c r="AB68" i="13"/>
  <c r="R69" i="13"/>
  <c r="W69" i="13" s="1"/>
  <c r="AR58" i="20"/>
  <c r="AW57" i="20"/>
  <c r="AU57" i="20"/>
  <c r="AP58" i="20"/>
  <c r="AT57" i="20"/>
  <c r="AY56" i="20"/>
  <c r="AQ58" i="20"/>
  <c r="AV57" i="20"/>
  <c r="AS57" i="20"/>
  <c r="AX57" i="20" s="1"/>
  <c r="AB69" i="13" l="1"/>
  <c r="AQ69" i="13"/>
  <c r="AR69" i="13" s="1"/>
  <c r="AT69" i="13" s="1"/>
  <c r="AV58" i="20"/>
  <c r="AQ59" i="20"/>
  <c r="AP59" i="20"/>
  <c r="AU58" i="20"/>
  <c r="AT58" i="20"/>
  <c r="AY57" i="20"/>
  <c r="AS58" i="20"/>
  <c r="AX58" i="20" s="1"/>
  <c r="AW58" i="20"/>
  <c r="AR59" i="20"/>
  <c r="R71" i="13" l="1"/>
  <c r="W71" i="13" s="1"/>
  <c r="R70" i="13"/>
  <c r="W70" i="13" s="1"/>
  <c r="AU59" i="20"/>
  <c r="AP60" i="20"/>
  <c r="AS59" i="20"/>
  <c r="AX59" i="20" s="1"/>
  <c r="AY58" i="20"/>
  <c r="AT59" i="20"/>
  <c r="AW59" i="20"/>
  <c r="AR60" i="20"/>
  <c r="AQ60" i="20"/>
  <c r="AV59" i="20"/>
  <c r="AQ70" i="13" l="1"/>
  <c r="AR70" i="13" s="1"/>
  <c r="AT70" i="13" s="1"/>
  <c r="AB70" i="13"/>
  <c r="AQ71" i="13"/>
  <c r="AR71" i="13" s="1"/>
  <c r="AT71" i="13" s="1"/>
  <c r="AB71" i="13"/>
  <c r="R72" i="13"/>
  <c r="W72" i="13" s="1"/>
  <c r="AV60" i="20"/>
  <c r="AQ61" i="20"/>
  <c r="AR61" i="20"/>
  <c r="AW60" i="20"/>
  <c r="AT60" i="20"/>
  <c r="AY59" i="20"/>
  <c r="AS60" i="20"/>
  <c r="AX60" i="20" s="1"/>
  <c r="AU60" i="20"/>
  <c r="AP61" i="20"/>
  <c r="AQ72" i="13" l="1"/>
  <c r="AR72" i="13" s="1"/>
  <c r="AT72" i="13" s="1"/>
  <c r="AB72" i="13"/>
  <c r="R73" i="13"/>
  <c r="W73" i="13" s="1"/>
  <c r="AS61" i="20"/>
  <c r="AX61" i="20" s="1"/>
  <c r="AT61" i="20"/>
  <c r="AY60" i="20"/>
  <c r="AR62" i="20"/>
  <c r="AW61" i="20"/>
  <c r="AU61" i="20"/>
  <c r="AP62" i="20"/>
  <c r="AQ62" i="20"/>
  <c r="AV61" i="20"/>
  <c r="AQ73" i="13" l="1"/>
  <c r="AR73" i="13" s="1"/>
  <c r="AT73" i="13" s="1"/>
  <c r="AB73" i="13"/>
  <c r="R74" i="13"/>
  <c r="W74" i="13" s="1"/>
  <c r="AV62" i="20"/>
  <c r="AQ63" i="20"/>
  <c r="AS62" i="20"/>
  <c r="AX62" i="20" s="1"/>
  <c r="AP63" i="20"/>
  <c r="AU62" i="20"/>
  <c r="AW62" i="20"/>
  <c r="AR63" i="20"/>
  <c r="AY61" i="20"/>
  <c r="AT62" i="20"/>
  <c r="AQ74" i="13" l="1"/>
  <c r="AR74" i="13" s="1"/>
  <c r="AT74" i="13" s="1"/>
  <c r="AB74" i="13"/>
  <c r="R75" i="13"/>
  <c r="W75" i="13" s="1"/>
  <c r="AU63" i="20"/>
  <c r="AP64" i="20"/>
  <c r="AS63" i="20"/>
  <c r="AX63" i="20" s="1"/>
  <c r="AY62" i="20"/>
  <c r="AT63" i="20"/>
  <c r="AQ64" i="20"/>
  <c r="AV63" i="20"/>
  <c r="AW63" i="20"/>
  <c r="AR64" i="20"/>
  <c r="AQ75" i="13" l="1"/>
  <c r="AR75" i="13" s="1"/>
  <c r="AT75" i="13" s="1"/>
  <c r="AB75" i="13"/>
  <c r="R76" i="13"/>
  <c r="W76" i="13" s="1"/>
  <c r="AV64" i="20"/>
  <c r="AQ65" i="20"/>
  <c r="AY63" i="20"/>
  <c r="AT64" i="20"/>
  <c r="AS64" i="20"/>
  <c r="AX64" i="20" s="1"/>
  <c r="AW64" i="20"/>
  <c r="AR65" i="20"/>
  <c r="AU64" i="20"/>
  <c r="AP65" i="20"/>
  <c r="AQ76" i="13" l="1"/>
  <c r="AR76" i="13" s="1"/>
  <c r="AT76" i="13" s="1"/>
  <c r="AB76" i="13"/>
  <c r="R77" i="13"/>
  <c r="W77" i="13" s="1"/>
  <c r="AT65" i="20"/>
  <c r="AY64" i="20"/>
  <c r="AP66" i="20"/>
  <c r="AU65" i="20"/>
  <c r="AQ66" i="20"/>
  <c r="AV65" i="20"/>
  <c r="AR66" i="20"/>
  <c r="AW65" i="20"/>
  <c r="AS65" i="20"/>
  <c r="AX65" i="20" s="1"/>
  <c r="AB77" i="13" l="1"/>
  <c r="AQ77" i="13"/>
  <c r="AR77" i="13" s="1"/>
  <c r="AT77" i="13" s="1"/>
  <c r="R78" i="13"/>
  <c r="W78" i="13" s="1"/>
  <c r="AV66" i="20"/>
  <c r="AQ67" i="20"/>
  <c r="AW66" i="20"/>
  <c r="AR67" i="20"/>
  <c r="AP67" i="20"/>
  <c r="AU66" i="20"/>
  <c r="AS66" i="20"/>
  <c r="AX66" i="20" s="1"/>
  <c r="AY65" i="20"/>
  <c r="AT66" i="20"/>
  <c r="AB78" i="13" l="1"/>
  <c r="AQ78" i="13"/>
  <c r="AR78" i="13" s="1"/>
  <c r="AT78" i="13" s="1"/>
  <c r="AW67" i="20"/>
  <c r="AR68" i="20"/>
  <c r="AS67" i="20"/>
  <c r="AX67" i="20" s="1"/>
  <c r="AU67" i="20"/>
  <c r="AP68" i="20"/>
  <c r="AY66" i="20"/>
  <c r="AT67" i="20"/>
  <c r="AQ68" i="20"/>
  <c r="AV67" i="20"/>
  <c r="R80" i="13" l="1"/>
  <c r="W80" i="13" s="1"/>
  <c r="R79" i="13"/>
  <c r="W79" i="13" s="1"/>
  <c r="AS68" i="20"/>
  <c r="AX68" i="20" s="1"/>
  <c r="AV68" i="20"/>
  <c r="AQ69" i="20"/>
  <c r="AY67" i="20"/>
  <c r="AT68" i="20"/>
  <c r="AU68" i="20"/>
  <c r="AP69" i="20"/>
  <c r="AR69" i="20"/>
  <c r="AW68" i="20"/>
  <c r="AB79" i="13" l="1"/>
  <c r="AQ79" i="13"/>
  <c r="AR79" i="13" s="1"/>
  <c r="AT79" i="13" s="1"/>
  <c r="AQ80" i="13"/>
  <c r="AR80" i="13" s="1"/>
  <c r="AT80" i="13" s="1"/>
  <c r="AB80" i="13"/>
  <c r="R82" i="13"/>
  <c r="W82" i="13" s="1"/>
  <c r="AP70" i="20"/>
  <c r="AU69" i="20"/>
  <c r="AT69" i="20"/>
  <c r="AY68" i="20"/>
  <c r="AQ70" i="20"/>
  <c r="AV69" i="20"/>
  <c r="AS69" i="20"/>
  <c r="AX69" i="20" s="1"/>
  <c r="AR70" i="20"/>
  <c r="AW69" i="20"/>
  <c r="R81" i="13" l="1"/>
  <c r="W81" i="13" s="1"/>
  <c r="AQ81" i="13" s="1"/>
  <c r="AR81" i="13" s="1"/>
  <c r="AT81" i="13" s="1"/>
  <c r="AQ82" i="13"/>
  <c r="AB82" i="13"/>
  <c r="AS70" i="20"/>
  <c r="AX70" i="20" s="1"/>
  <c r="AV70" i="20"/>
  <c r="AQ71" i="20"/>
  <c r="AY69" i="20"/>
  <c r="AT70" i="20"/>
  <c r="AW70" i="20"/>
  <c r="AR71" i="20"/>
  <c r="AP71" i="20"/>
  <c r="AU70" i="20"/>
  <c r="AB81" i="13" l="1"/>
  <c r="AR82" i="13"/>
  <c r="AQ98" i="13"/>
  <c r="AW71" i="20"/>
  <c r="AR72" i="20"/>
  <c r="AS71" i="20"/>
  <c r="AX71" i="20" s="1"/>
  <c r="AY70" i="20"/>
  <c r="AT71" i="20"/>
  <c r="AQ72" i="20"/>
  <c r="AV71" i="20"/>
  <c r="AU71" i="20"/>
  <c r="AP72" i="20"/>
  <c r="AT82" i="13" l="1"/>
  <c r="AR98" i="13"/>
  <c r="AS72" i="20"/>
  <c r="AX72" i="20" s="1"/>
  <c r="AV72" i="20"/>
  <c r="AQ73" i="20"/>
  <c r="AU72" i="20"/>
  <c r="AP73" i="20"/>
  <c r="AR73" i="20"/>
  <c r="AW72" i="20"/>
  <c r="AT72" i="20"/>
  <c r="AY71" i="20"/>
  <c r="AR74" i="20" l="1"/>
  <c r="AW73" i="20"/>
  <c r="AP74" i="20"/>
  <c r="AU73" i="20"/>
  <c r="AQ74" i="20"/>
  <c r="AV73" i="20"/>
  <c r="AS73" i="20"/>
  <c r="AX73" i="20" s="1"/>
  <c r="AT73" i="20"/>
  <c r="AY72" i="20"/>
  <c r="AS74" i="20" l="1"/>
  <c r="AX74" i="20" s="1"/>
  <c r="AV74" i="20"/>
  <c r="AQ75" i="20"/>
  <c r="AP75" i="20"/>
  <c r="AU74" i="20"/>
  <c r="AY73" i="20"/>
  <c r="AT74" i="20"/>
  <c r="AW74" i="20"/>
  <c r="AR75" i="20"/>
  <c r="AY74" i="20" l="1"/>
  <c r="AT75" i="20"/>
  <c r="AU75" i="20"/>
  <c r="AP76" i="20"/>
  <c r="AQ76" i="20"/>
  <c r="AV75" i="20"/>
  <c r="AW75" i="20"/>
  <c r="AR76" i="20"/>
  <c r="AS75" i="20"/>
  <c r="AX75" i="20" s="1"/>
  <c r="AW76" i="20" l="1"/>
  <c r="AR77" i="20"/>
  <c r="AV76" i="20"/>
  <c r="AQ77" i="20"/>
  <c r="AT76" i="20"/>
  <c r="AY75" i="20"/>
  <c r="AU76" i="20"/>
  <c r="AP77" i="20"/>
  <c r="AS76" i="20"/>
  <c r="AX76" i="20" s="1"/>
  <c r="AP78" i="20" l="1"/>
  <c r="AU77" i="20"/>
  <c r="AT77" i="20"/>
  <c r="AY76" i="20"/>
  <c r="AQ78" i="20"/>
  <c r="AV77" i="20"/>
  <c r="AS77" i="20"/>
  <c r="AX77" i="20" s="1"/>
  <c r="AR78" i="20"/>
  <c r="AW77" i="20"/>
  <c r="AV78" i="20" l="1"/>
  <c r="AQ79" i="20"/>
  <c r="AY77" i="20"/>
  <c r="AT78" i="20"/>
  <c r="AS78" i="20"/>
  <c r="AX78" i="20" s="1"/>
  <c r="AW78" i="20"/>
  <c r="AR79" i="20"/>
  <c r="AP79" i="20"/>
  <c r="AU78" i="20"/>
  <c r="AW79" i="20" l="1"/>
  <c r="AR80" i="20"/>
  <c r="AS79" i="20"/>
  <c r="AX79" i="20" s="1"/>
  <c r="AY78" i="20"/>
  <c r="AT79" i="20"/>
  <c r="AQ80" i="20"/>
  <c r="AV79" i="20"/>
  <c r="AU79" i="20"/>
  <c r="AP80" i="20"/>
  <c r="AV80" i="20" l="1"/>
  <c r="AQ81" i="20"/>
  <c r="AT80" i="20"/>
  <c r="AY79" i="20"/>
  <c r="AS80" i="20"/>
  <c r="AX80" i="20" s="1"/>
  <c r="AU80" i="20"/>
  <c r="AP81" i="20"/>
  <c r="AW80" i="20"/>
  <c r="AR81" i="20"/>
  <c r="AP82" i="20" l="1"/>
  <c r="AU81" i="20"/>
  <c r="AS81" i="20"/>
  <c r="AX81" i="20" s="1"/>
  <c r="AT81" i="20"/>
  <c r="AY80" i="20"/>
  <c r="AR82" i="20"/>
  <c r="AW81" i="20"/>
  <c r="AQ82" i="20"/>
  <c r="AV81" i="20"/>
  <c r="AW82" i="20" l="1"/>
  <c r="AR83" i="20"/>
  <c r="AS82" i="20"/>
  <c r="AX82" i="20" s="1"/>
  <c r="AY81" i="20"/>
  <c r="AT82" i="20"/>
  <c r="AV82" i="20"/>
  <c r="AQ83" i="20"/>
  <c r="AP83" i="20"/>
  <c r="AU82" i="20"/>
  <c r="AY82" i="20" l="1"/>
  <c r="AT83" i="20"/>
  <c r="AQ84" i="20"/>
  <c r="AV83" i="20"/>
  <c r="AS83" i="20"/>
  <c r="AX83" i="20" s="1"/>
  <c r="AW83" i="20"/>
  <c r="AR84" i="20"/>
  <c r="AU83" i="20"/>
  <c r="AP84" i="20"/>
  <c r="AR85" i="20" l="1"/>
  <c r="AW84" i="20"/>
  <c r="AS84" i="20"/>
  <c r="AX84" i="20" s="1"/>
  <c r="AV84" i="20"/>
  <c r="AQ85" i="20"/>
  <c r="AU84" i="20"/>
  <c r="AP85" i="20"/>
  <c r="AT84" i="20"/>
  <c r="AY83" i="20"/>
  <c r="AP86" i="20" l="1"/>
  <c r="AU85" i="20"/>
  <c r="AQ86" i="20"/>
  <c r="AV85" i="20"/>
  <c r="AS85" i="20"/>
  <c r="AX85" i="20" s="1"/>
  <c r="AT85" i="20"/>
  <c r="AY84" i="20"/>
  <c r="AR86" i="20"/>
  <c r="AW85" i="20"/>
  <c r="AY85" i="20" l="1"/>
  <c r="AT86" i="20"/>
  <c r="AS86" i="20"/>
  <c r="AX86" i="20" s="1"/>
  <c r="AV86" i="20"/>
  <c r="AQ87" i="20"/>
  <c r="AW86" i="20"/>
  <c r="AR87" i="20"/>
  <c r="AP87" i="20"/>
  <c r="AU86" i="20"/>
  <c r="AW87" i="20" l="1"/>
  <c r="AR88" i="20"/>
  <c r="AQ88" i="20"/>
  <c r="AV87" i="20"/>
  <c r="AS87" i="20"/>
  <c r="AX87" i="20" s="1"/>
  <c r="AY86" i="20"/>
  <c r="AT87" i="20"/>
  <c r="AU87" i="20"/>
  <c r="AP88" i="20"/>
  <c r="AT88" i="20" l="1"/>
  <c r="AY87" i="20"/>
  <c r="AS88" i="20"/>
  <c r="AX88" i="20" s="1"/>
  <c r="AV88" i="20"/>
  <c r="AQ89" i="20"/>
  <c r="AU88" i="20"/>
  <c r="AP89" i="20"/>
  <c r="AR89" i="20"/>
  <c r="AW88" i="20"/>
  <c r="AU89" i="20" l="1"/>
  <c r="AP90" i="20"/>
  <c r="AQ90" i="20"/>
  <c r="AV89" i="20"/>
  <c r="AS89" i="20"/>
  <c r="AX89" i="20" s="1"/>
  <c r="AR90" i="20"/>
  <c r="AW89" i="20"/>
  <c r="AT89" i="20"/>
  <c r="AY88" i="20"/>
  <c r="AW90" i="20" l="1"/>
  <c r="AR91" i="20"/>
  <c r="AS90" i="20"/>
  <c r="AX90" i="20" s="1"/>
  <c r="AV90" i="20"/>
  <c r="AQ91" i="20"/>
  <c r="AP91" i="20"/>
  <c r="AU90" i="20"/>
  <c r="AY89" i="20"/>
  <c r="AT90" i="20"/>
  <c r="AS91" i="20" l="1"/>
  <c r="AX91" i="20" s="1"/>
  <c r="AY90" i="20"/>
  <c r="AT91" i="20"/>
  <c r="AW91" i="20"/>
  <c r="AR92" i="20"/>
  <c r="AU91" i="20"/>
  <c r="AP92" i="20"/>
  <c r="AQ92" i="20"/>
  <c r="AV91" i="20"/>
  <c r="AU92" i="20" l="1"/>
  <c r="AP93" i="20"/>
  <c r="AR93" i="20"/>
  <c r="AW92" i="20"/>
  <c r="AT92" i="20"/>
  <c r="AY91" i="20"/>
  <c r="AV92" i="20"/>
  <c r="AQ93" i="20"/>
  <c r="AS92" i="20"/>
  <c r="AX92" i="20" s="1"/>
  <c r="AQ94" i="20" l="1"/>
  <c r="AV93" i="20"/>
  <c r="AT93" i="20"/>
  <c r="AY92" i="20"/>
  <c r="AR94" i="20"/>
  <c r="AW93" i="20"/>
  <c r="AS93" i="20"/>
  <c r="AX93" i="20" s="1"/>
  <c r="AU93" i="20"/>
  <c r="AP94" i="20"/>
  <c r="AS94" i="20" l="1"/>
  <c r="AX94" i="20" s="1"/>
  <c r="AY93" i="20"/>
  <c r="AT94" i="20"/>
  <c r="AW94" i="20"/>
  <c r="AR95" i="20"/>
  <c r="AP95" i="20"/>
  <c r="AU94" i="20"/>
  <c r="AV94" i="20"/>
  <c r="AQ95" i="20"/>
  <c r="AS95" i="20" l="1"/>
  <c r="AX95" i="20" s="1"/>
  <c r="AY94" i="20"/>
  <c r="AT95" i="20"/>
  <c r="AY95" i="20" s="1"/>
  <c r="D82" i="27" l="1"/>
  <c r="E82" i="27" s="1"/>
  <c r="AB8" i="14" l="1"/>
  <c r="F82" i="27"/>
  <c r="F86" i="27" l="1"/>
  <c r="G86" i="27" s="1"/>
  <c r="E105" i="27" s="1"/>
  <c r="S34" i="27"/>
  <c r="R46" i="27"/>
  <c r="S11" i="27"/>
  <c r="S22" i="27"/>
  <c r="R57" i="27"/>
  <c r="S57" i="27"/>
  <c r="T22" i="27"/>
  <c r="S46" i="27"/>
  <c r="T34" i="27"/>
  <c r="T11" i="27"/>
  <c r="G82" i="27"/>
  <c r="E100" i="27" s="1"/>
  <c r="I82" i="27" l="1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AK95" i="20"/>
  <c r="B95" i="20"/>
  <c r="A3" i="20"/>
  <c r="A4" i="20" s="1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7" i="13"/>
  <c r="M6" i="9"/>
  <c r="M7" i="9"/>
  <c r="M5" i="9"/>
  <c r="M4" i="9"/>
  <c r="M8" i="9"/>
  <c r="F5" i="6"/>
  <c r="G8" i="6"/>
  <c r="G5" i="6"/>
  <c r="G6" i="6"/>
  <c r="F6" i="6"/>
  <c r="G4" i="6"/>
  <c r="F7" i="6"/>
  <c r="F4" i="6"/>
  <c r="G7" i="6"/>
  <c r="AN95" i="20" l="1"/>
  <c r="AW95" i="20"/>
  <c r="AO95" i="20"/>
  <c r="AL95" i="20"/>
  <c r="AU95" i="20"/>
  <c r="AA25" i="14"/>
  <c r="AO2" i="20"/>
  <c r="AM2" i="20"/>
  <c r="A5" i="20"/>
  <c r="B4" i="20"/>
  <c r="B3" i="20"/>
  <c r="AL2" i="20"/>
  <c r="AZ3" i="20"/>
  <c r="BB3" i="20" s="1"/>
  <c r="L98" i="13"/>
  <c r="L99" i="13"/>
  <c r="L103" i="13" s="1"/>
  <c r="L105" i="13" s="1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AM95" i="20" l="1"/>
  <c r="AV95" i="20"/>
  <c r="AK2" i="20"/>
  <c r="AN2" i="20"/>
  <c r="A6" i="20"/>
  <c r="B5" i="20"/>
  <c r="V98" i="13"/>
  <c r="B6" i="25" s="1"/>
  <c r="C6" i="25" s="1"/>
  <c r="V101" i="13"/>
  <c r="N5" i="6"/>
  <c r="O5" i="6" s="1"/>
  <c r="K5" i="6"/>
  <c r="K7" i="6"/>
  <c r="N7" i="6"/>
  <c r="O7" i="6" s="1"/>
  <c r="N6" i="6"/>
  <c r="O6" i="6" s="1"/>
  <c r="K6" i="6"/>
  <c r="K4" i="6"/>
  <c r="N4" i="6"/>
  <c r="O4" i="6" s="1"/>
  <c r="W101" i="13"/>
  <c r="W98" i="13"/>
  <c r="B7" i="25" s="1"/>
  <c r="C7" i="25" s="1"/>
  <c r="AZ2" i="20" l="1"/>
  <c r="BB2" i="20" s="1"/>
  <c r="AZ4" i="20"/>
  <c r="BB4" i="20" s="1"/>
  <c r="AZ5" i="20"/>
  <c r="BB5" i="20" s="1"/>
  <c r="D7" i="25"/>
  <c r="F7" i="25" s="1"/>
  <c r="P99" i="13"/>
  <c r="P100" i="13"/>
  <c r="A7" i="20"/>
  <c r="B6" i="20"/>
  <c r="D6" i="25"/>
  <c r="F6" i="25" s="1"/>
  <c r="AC8" i="14" l="1"/>
  <c r="AZ6" i="20"/>
  <c r="BB6" i="20" s="1"/>
  <c r="E7" i="25"/>
  <c r="D5" i="25"/>
  <c r="E5" i="25" s="1"/>
  <c r="U101" i="13"/>
  <c r="O100" i="13"/>
  <c r="U98" i="13"/>
  <c r="B5" i="25" s="1"/>
  <c r="C5" i="25" s="1"/>
  <c r="A8" i="20"/>
  <c r="B7" i="20"/>
  <c r="E6" i="25"/>
  <c r="AZ7" i="20" l="1"/>
  <c r="BB7" i="20" s="1"/>
  <c r="T98" i="13"/>
  <c r="B4" i="25" s="1"/>
  <c r="C4" i="25" s="1"/>
  <c r="D4" i="25"/>
  <c r="F4" i="25" s="1"/>
  <c r="T101" i="13"/>
  <c r="T104" i="13" s="1"/>
  <c r="F5" i="25"/>
  <c r="B8" i="20"/>
  <c r="A9" i="20"/>
  <c r="AZ8" i="20" l="1"/>
  <c r="BB8" i="20" s="1"/>
  <c r="E4" i="25"/>
  <c r="A10" i="20"/>
  <c r="B9" i="20"/>
  <c r="N100" i="13"/>
  <c r="AZ9" i="20" l="1"/>
  <c r="BB9" i="20" s="1"/>
  <c r="AS99" i="13"/>
  <c r="A11" i="20"/>
  <c r="B10" i="20"/>
  <c r="AZ10" i="20" l="1"/>
  <c r="BB10" i="20" s="1"/>
  <c r="S98" i="13"/>
  <c r="B3" i="25" s="1"/>
  <c r="C3" i="25" s="1"/>
  <c r="S101" i="13"/>
  <c r="B11" i="20"/>
  <c r="A12" i="20"/>
  <c r="AS97" i="13"/>
  <c r="D3" i="25"/>
  <c r="AZ11" i="20" l="1"/>
  <c r="BB11" i="20" s="1"/>
  <c r="A13" i="20"/>
  <c r="B12" i="20"/>
  <c r="B8" i="25"/>
  <c r="E3" i="25"/>
  <c r="F3" i="25"/>
  <c r="F8" i="25" s="1"/>
  <c r="AZ12" i="20" l="1"/>
  <c r="BB12" i="20" s="1"/>
  <c r="B13" i="20"/>
  <c r="A14" i="20"/>
  <c r="B21" i="25"/>
  <c r="B20" i="25"/>
  <c r="AZ13" i="20" l="1"/>
  <c r="BB13" i="20" s="1"/>
  <c r="A15" i="20"/>
  <c r="B14" i="20"/>
  <c r="AZ14" i="20" l="1"/>
  <c r="BB14" i="20" s="1"/>
  <c r="A16" i="20"/>
  <c r="B15" i="20"/>
  <c r="AZ15" i="20" l="1"/>
  <c r="BB15" i="20" s="1"/>
  <c r="B16" i="20"/>
  <c r="A17" i="20"/>
  <c r="AZ16" i="20" l="1"/>
  <c r="BB16" i="20" s="1"/>
  <c r="B17" i="20"/>
  <c r="A18" i="20"/>
  <c r="AZ17" i="20" l="1"/>
  <c r="BB17" i="20" s="1"/>
  <c r="A19" i="20"/>
  <c r="B18" i="20"/>
  <c r="AZ18" i="20" l="1"/>
  <c r="BB18" i="20" s="1"/>
  <c r="B19" i="20"/>
  <c r="A20" i="20"/>
  <c r="AZ19" i="20" l="1"/>
  <c r="BB19" i="20" s="1"/>
  <c r="A21" i="20"/>
  <c r="B20" i="20"/>
  <c r="AZ20" i="20" l="1"/>
  <c r="BB20" i="20" s="1"/>
  <c r="A22" i="20"/>
  <c r="B21" i="20"/>
  <c r="AZ21" i="20" l="1"/>
  <c r="BB21" i="20" s="1"/>
  <c r="B22" i="20"/>
  <c r="A23" i="20"/>
  <c r="AZ22" i="20" l="1"/>
  <c r="BB22" i="20" s="1"/>
  <c r="B23" i="20"/>
  <c r="A24" i="20"/>
  <c r="AZ23" i="20" l="1"/>
  <c r="BB23" i="20" s="1"/>
  <c r="A25" i="20"/>
  <c r="B24" i="20"/>
  <c r="AZ24" i="20" l="1"/>
  <c r="BB24" i="20" s="1"/>
  <c r="A26" i="20"/>
  <c r="B25" i="20"/>
  <c r="AZ25" i="20" l="1"/>
  <c r="BB25" i="20" s="1"/>
  <c r="B26" i="20"/>
  <c r="A27" i="20"/>
  <c r="AZ26" i="20" l="1"/>
  <c r="BB26" i="20" s="1"/>
  <c r="A28" i="20"/>
  <c r="B27" i="20"/>
  <c r="AZ27" i="20" l="1"/>
  <c r="BB27" i="20" s="1"/>
  <c r="A29" i="20"/>
  <c r="B28" i="20"/>
  <c r="AZ28" i="20" l="1"/>
  <c r="BB28" i="20" s="1"/>
  <c r="B29" i="20"/>
  <c r="A30" i="20"/>
  <c r="AZ29" i="20" l="1"/>
  <c r="BB29" i="20" s="1"/>
  <c r="A31" i="20"/>
  <c r="B30" i="20"/>
  <c r="AZ30" i="20" l="1"/>
  <c r="BB30" i="20" s="1"/>
  <c r="B31" i="20"/>
  <c r="A32" i="20"/>
  <c r="AZ31" i="20" l="1"/>
  <c r="BB31" i="20" s="1"/>
  <c r="B32" i="20"/>
  <c r="A33" i="20"/>
  <c r="AZ32" i="20" l="1"/>
  <c r="BB32" i="20" s="1"/>
  <c r="A34" i="20"/>
  <c r="B33" i="20"/>
  <c r="AZ33" i="20" l="1"/>
  <c r="BB33" i="20" s="1"/>
  <c r="B34" i="20"/>
  <c r="A35" i="20"/>
  <c r="AZ34" i="20" l="1"/>
  <c r="BB34" i="20" s="1"/>
  <c r="B35" i="20"/>
  <c r="A36" i="20"/>
  <c r="AZ35" i="20" l="1"/>
  <c r="BB35" i="20" s="1"/>
  <c r="A37" i="20"/>
  <c r="B36" i="20"/>
  <c r="AZ36" i="20" l="1"/>
  <c r="BB36" i="20" s="1"/>
  <c r="A38" i="20"/>
  <c r="B37" i="20"/>
  <c r="AZ37" i="20" l="1"/>
  <c r="BB37" i="20" s="1"/>
  <c r="A39" i="20"/>
  <c r="B38" i="20"/>
  <c r="AZ38" i="20" l="1"/>
  <c r="BB38" i="20" s="1"/>
  <c r="B39" i="20"/>
  <c r="A40" i="20"/>
  <c r="AZ39" i="20" l="1"/>
  <c r="BB39" i="20" s="1"/>
  <c r="A41" i="20"/>
  <c r="B40" i="20"/>
  <c r="AZ40" i="20" l="1"/>
  <c r="BB40" i="20" s="1"/>
  <c r="A42" i="20"/>
  <c r="B41" i="20"/>
  <c r="AZ41" i="20" l="1"/>
  <c r="BB41" i="20" s="1"/>
  <c r="B42" i="20"/>
  <c r="A43" i="20"/>
  <c r="AZ42" i="20" l="1"/>
  <c r="BB42" i="20" s="1"/>
  <c r="B43" i="20"/>
  <c r="A44" i="20"/>
  <c r="AZ43" i="20" l="1"/>
  <c r="BB43" i="20" s="1"/>
  <c r="A45" i="20"/>
  <c r="B44" i="20"/>
  <c r="AZ44" i="20" l="1"/>
  <c r="BB44" i="20" s="1"/>
  <c r="A46" i="20"/>
  <c r="B45" i="20"/>
  <c r="AZ45" i="20" l="1"/>
  <c r="BB45" i="20" s="1"/>
  <c r="A47" i="20"/>
  <c r="B46" i="20"/>
  <c r="AZ46" i="20" l="1"/>
  <c r="BB46" i="20" s="1"/>
  <c r="B47" i="20"/>
  <c r="A48" i="20"/>
  <c r="AZ47" i="20" l="1"/>
  <c r="BB47" i="20" s="1"/>
  <c r="A49" i="20"/>
  <c r="B48" i="20"/>
  <c r="AZ48" i="20" l="1"/>
  <c r="BB48" i="20" s="1"/>
  <c r="A50" i="20"/>
  <c r="B49" i="20"/>
  <c r="AZ49" i="20" l="1"/>
  <c r="BB49" i="20" s="1"/>
  <c r="B50" i="20"/>
  <c r="A51" i="20"/>
  <c r="AZ50" i="20" l="1"/>
  <c r="BB50" i="20" s="1"/>
  <c r="B51" i="20"/>
  <c r="A52" i="20"/>
  <c r="AZ51" i="20" l="1"/>
  <c r="BB51" i="20" s="1"/>
  <c r="A53" i="20"/>
  <c r="B52" i="20"/>
  <c r="AZ52" i="20" l="1"/>
  <c r="BB52" i="20" s="1"/>
  <c r="A54" i="20"/>
  <c r="B53" i="20"/>
  <c r="AZ53" i="20" l="1"/>
  <c r="BB53" i="20" s="1"/>
  <c r="A55" i="20"/>
  <c r="B54" i="20"/>
  <c r="AZ54" i="20" l="1"/>
  <c r="BB54" i="20" s="1"/>
  <c r="B55" i="20"/>
  <c r="A56" i="20"/>
  <c r="AZ55" i="20" l="1"/>
  <c r="BB55" i="20" s="1"/>
  <c r="A57" i="20"/>
  <c r="B56" i="20"/>
  <c r="AZ56" i="20" l="1"/>
  <c r="BB56" i="20" s="1"/>
  <c r="A58" i="20"/>
  <c r="B57" i="20"/>
  <c r="AZ57" i="20" l="1"/>
  <c r="BB57" i="20" s="1"/>
  <c r="B58" i="20"/>
  <c r="A59" i="20"/>
  <c r="AZ58" i="20" l="1"/>
  <c r="BB58" i="20" s="1"/>
  <c r="A60" i="20"/>
  <c r="B59" i="20"/>
  <c r="AZ59" i="20" l="1"/>
  <c r="BB59" i="20" s="1"/>
  <c r="A61" i="20"/>
  <c r="B60" i="20"/>
  <c r="AZ60" i="20" l="1"/>
  <c r="BB60" i="20" s="1"/>
  <c r="A62" i="20"/>
  <c r="B61" i="20"/>
  <c r="AZ61" i="20" l="1"/>
  <c r="BB61" i="20" s="1"/>
  <c r="A63" i="20"/>
  <c r="B62" i="20"/>
  <c r="AZ62" i="20" l="1"/>
  <c r="BB62" i="20" s="1"/>
  <c r="B63" i="20"/>
  <c r="A64" i="20"/>
  <c r="AZ63" i="20" l="1"/>
  <c r="BB63" i="20" s="1"/>
  <c r="A65" i="20"/>
  <c r="B64" i="20"/>
  <c r="AZ64" i="20" l="1"/>
  <c r="BB64" i="20" s="1"/>
  <c r="A66" i="20"/>
  <c r="B65" i="20"/>
  <c r="AZ65" i="20" l="1"/>
  <c r="BB65" i="20" s="1"/>
  <c r="B66" i="20"/>
  <c r="A67" i="20"/>
  <c r="AZ66" i="20" l="1"/>
  <c r="BB66" i="20" s="1"/>
  <c r="A68" i="20"/>
  <c r="B67" i="20"/>
  <c r="AZ67" i="20" l="1"/>
  <c r="BB67" i="20" s="1"/>
  <c r="A69" i="20"/>
  <c r="B68" i="20"/>
  <c r="AZ68" i="20" l="1"/>
  <c r="BB68" i="20" s="1"/>
  <c r="A70" i="20"/>
  <c r="B69" i="20"/>
  <c r="AZ69" i="20" l="1"/>
  <c r="BB69" i="20" s="1"/>
  <c r="A71" i="20"/>
  <c r="B70" i="20"/>
  <c r="AZ70" i="20" l="1"/>
  <c r="BB70" i="20" s="1"/>
  <c r="B71" i="20"/>
  <c r="A72" i="20"/>
  <c r="AZ71" i="20" l="1"/>
  <c r="BB71" i="20" s="1"/>
  <c r="A73" i="20"/>
  <c r="B72" i="20"/>
  <c r="AZ72" i="20" l="1"/>
  <c r="BB72" i="20" s="1"/>
  <c r="A74" i="20"/>
  <c r="B73" i="20"/>
  <c r="AZ73" i="20" l="1"/>
  <c r="BB73" i="20" s="1"/>
  <c r="B74" i="20"/>
  <c r="A75" i="20"/>
  <c r="AZ74" i="20" l="1"/>
  <c r="BB74" i="20" s="1"/>
  <c r="A76" i="20"/>
  <c r="B75" i="20"/>
  <c r="AZ75" i="20" l="1"/>
  <c r="BB75" i="20" s="1"/>
  <c r="A77" i="20"/>
  <c r="B76" i="20"/>
  <c r="AZ76" i="20" l="1"/>
  <c r="BB76" i="20" s="1"/>
  <c r="A78" i="20"/>
  <c r="B77" i="20"/>
  <c r="AZ77" i="20" l="1"/>
  <c r="BB77" i="20" s="1"/>
  <c r="A79" i="20"/>
  <c r="B78" i="20"/>
  <c r="AZ78" i="20" l="1"/>
  <c r="BB78" i="20" s="1"/>
  <c r="B79" i="20"/>
  <c r="A80" i="20"/>
  <c r="AZ79" i="20" l="1"/>
  <c r="BB79" i="20" s="1"/>
  <c r="A81" i="20"/>
  <c r="B80" i="20"/>
  <c r="AZ80" i="20" l="1"/>
  <c r="BB80" i="20" s="1"/>
  <c r="A82" i="20"/>
  <c r="B81" i="20"/>
  <c r="AZ81" i="20" l="1"/>
  <c r="BB81" i="20" s="1"/>
  <c r="B82" i="20"/>
  <c r="A83" i="20"/>
  <c r="AZ82" i="20" l="1"/>
  <c r="BB82" i="20" s="1"/>
  <c r="A84" i="20"/>
  <c r="B83" i="20"/>
  <c r="AZ83" i="20" l="1"/>
  <c r="BB83" i="20" s="1"/>
  <c r="A85" i="20"/>
  <c r="B84" i="20"/>
  <c r="AZ84" i="20" l="1"/>
  <c r="BB84" i="20" s="1"/>
  <c r="A86" i="20"/>
  <c r="B85" i="20"/>
  <c r="AZ85" i="20" l="1"/>
  <c r="BB85" i="20" s="1"/>
  <c r="A87" i="20"/>
  <c r="B86" i="20"/>
  <c r="AZ86" i="20" l="1"/>
  <c r="BB86" i="20" s="1"/>
  <c r="B87" i="20"/>
  <c r="A88" i="20"/>
  <c r="AZ87" i="20" l="1"/>
  <c r="BB87" i="20" s="1"/>
  <c r="A89" i="20"/>
  <c r="B88" i="20"/>
  <c r="AZ88" i="20" l="1"/>
  <c r="BB88" i="20" s="1"/>
  <c r="A90" i="20"/>
  <c r="B89" i="20"/>
  <c r="AZ89" i="20" l="1"/>
  <c r="BB89" i="20" s="1"/>
  <c r="B90" i="20"/>
  <c r="A91" i="20"/>
  <c r="AZ90" i="20" l="1"/>
  <c r="BB90" i="20" s="1"/>
  <c r="A92" i="20"/>
  <c r="B91" i="20"/>
  <c r="AZ91" i="20" l="1"/>
  <c r="BB91" i="20" s="1"/>
  <c r="A93" i="20"/>
  <c r="B92" i="20"/>
  <c r="AZ92" i="20" l="1"/>
  <c r="BB92" i="20" s="1"/>
  <c r="A94" i="20"/>
  <c r="B94" i="20" s="1"/>
  <c r="B93" i="20"/>
  <c r="AZ93" i="20" l="1"/>
  <c r="BB93" i="20" s="1"/>
  <c r="AZ95" i="20" l="1"/>
  <c r="BB95" i="20" s="1"/>
  <c r="AZ94" i="20"/>
  <c r="BB94" i="20" s="1"/>
  <c r="AZ96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tc={594DACD2-7118-4E05-A131-CBDE2572C447}</author>
    <author>tc={21DC9766-0F1A-4752-9699-33BC3B8A70A4}</author>
  </authors>
  <commentList>
    <comment ref="X9" authorId="0" shapeId="0" xr:uid="{594DACD2-7118-4E05-A131-CBDE2572C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21DC9766-0F1A-4752-9699-33BC3B8A70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AA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AA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D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E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<sst xmlns="http://schemas.openxmlformats.org/spreadsheetml/2006/main" count="963" uniqueCount="429">
  <si>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</si>
  <si>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</si>
  <si>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</si>
  <si>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</si>
  <si>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</si>
  <si>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</si>
  <si>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</si>
  <si>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</si>
  <si>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</si>
  <si>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</si>
  <si>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</si>
  <si>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</si>
  <si>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</si>
  <si>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</si>
  <si>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</si>
  <si>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</si>
  <si>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</si>
  <si>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</si>
  <si>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</si>
  <si>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</si>
  <si>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</si>
  <si>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</si>
  <si>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</si>
  <si>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</si>
  <si>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</si>
  <si>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</si>
  <si>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</si>
  <si>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</si>
  <si>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</si>
  <si>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</si>
  <si>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</si>
  <si>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</si>
  <si>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</si>
  <si>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</si>
  <si>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</si>
  <si>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</si>
  <si>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</si>
  <si>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</si>
  <si>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</si>
  <si>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</si>
  <si>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</si>
  <si>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</si>
  <si>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</si>
  <si>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</si>
  <si>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</si>
  <si>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</si>
  <si>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</si>
  <si>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</si>
  <si>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</si>
  <si>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</si>
  <si>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</si>
  <si>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</si>
  <si>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</si>
  <si>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</si>
  <si>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</si>
  <si>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</si>
  <si>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</si>
  <si>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</si>
  <si>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</si>
  <si>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</si>
  <si>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</si>
  <si>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</si>
  <si>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</si>
  <si>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</si>
  <si>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</si>
  <si>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</si>
  <si>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</si>
  <si>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</si>
  <si>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</si>
  <si>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</si>
  <si>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</si>
  <si>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</si>
  <si>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</si>
  <si>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</si>
  <si>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</si>
  <si>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</si>
  <si>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</si>
  <si>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</si>
  <si>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</si>
  <si>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</si>
  <si>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</si>
  <si>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</si>
  <si>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</si>
  <si>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</si>
  <si>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</si>
  <si>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</si>
  <si>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</si>
  <si>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</si>
  <si>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</si>
  <si>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</si>
  <si>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</si>
  <si>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</si>
  <si>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</si>
  <si>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</si>
  <si>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</si>
  <si>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</si>
  <si>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</si>
  <si>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</si>
  <si>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</si>
  <si>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</si>
  <si>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</si>
  <si>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</si>
  <si>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</si>
  <si>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</si>
  <si>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</si>
  <si>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</si>
  <si>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</si>
  <si>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</si>
  <si>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</si>
  <si>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</si>
  <si>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</si>
  <si>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</si>
  <si>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</si>
  <si>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</si>
  <si>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</si>
  <si>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</si>
  <si>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</si>
  <si>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</si>
  <si>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</si>
  <si>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$m3</t>
  </si>
  <si>
    <t># TURNO</t>
  </si>
  <si>
    <t>GEM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</si>
  <si>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</si>
  <si>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</si>
  <si>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</si>
  <si>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</si>
  <si>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</si>
  <si>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</si>
  <si>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</si>
  <si>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</si>
  <si>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</si>
  <si>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</si>
  <si>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</si>
  <si>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</si>
  <si>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</si>
  <si>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</si>
  <si>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</si>
  <si>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</si>
  <si>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</si>
  <si>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</si>
  <si>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</si>
  <si>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</si>
  <si>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</si>
  <si>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</si>
  <si>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</si>
  <si>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</si>
  <si>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</si>
  <si>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</si>
  <si>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</si>
  <si>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</si>
  <si>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</si>
  <si>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</si>
  <si>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</si>
  <si>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</si>
  <si>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</si>
  <si>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</si>
  <si>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</si>
  <si>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</si>
  <si>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</si>
  <si>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</si>
  <si>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</si>
  <si>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</si>
  <si>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</si>
  <si>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</si>
  <si>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</si>
  <si>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</si>
  <si>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</si>
  <si>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</si>
  <si>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</si>
  <si>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</si>
  <si>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</si>
  <si>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</si>
  <si>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</si>
  <si>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</si>
  <si>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</si>
  <si>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</si>
  <si>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</si>
  <si>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</si>
  <si>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</si>
  <si>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</si>
  <si>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</si>
  <si>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</si>
  <si>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</si>
  <si>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</si>
  <si>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</si>
  <si>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</si>
  <si>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</si>
  <si>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>FINAL ACIDO (L)</t>
  </si>
  <si>
    <t>FINAL COAGULANTE (L)</t>
  </si>
  <si>
    <t>FINAL DECOLORANTE (L)</t>
  </si>
  <si>
    <t>FINAL POL ANIONICO (KG)</t>
  </si>
  <si>
    <t>FINAL POL CATIONICO (KG)</t>
  </si>
  <si>
    <t>1.500</t>
  </si>
  <si>
    <t>420</t>
  </si>
  <si>
    <t>140</t>
  </si>
  <si>
    <t>155</t>
  </si>
  <si>
    <t>3/01/2025 - 4/01/2025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</si>
  <si>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</si>
  <si>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</si>
  <si>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</si>
  <si>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</si>
  <si>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</si>
  <si>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</si>
  <si>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</si>
  <si>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</si>
  <si>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</si>
  <si>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</si>
  <si>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</si>
  <si>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</si>
  <si>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</si>
  <si>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</si>
  <si>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</si>
  <si>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</si>
  <si>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</si>
  <si>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</si>
  <si>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</si>
  <si>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</si>
  <si>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</si>
  <si>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</si>
  <si>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</si>
  <si>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</si>
  <si>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2.160</t>
  </si>
  <si>
    <t>2.100</t>
  </si>
  <si>
    <t>1.670</t>
  </si>
  <si>
    <t>205</t>
  </si>
  <si>
    <t>105</t>
  </si>
  <si>
    <t xml:space="preserve">CAUDAL TOTAL TRATADO GEM  </t>
  </si>
  <si>
    <t xml:space="preserve">INDICADOR $m3 </t>
  </si>
  <si>
    <t xml:space="preserve">COF 440 - PPM POL ANIONICO  </t>
  </si>
  <si>
    <t xml:space="preserve">COF 280 - PPM ACIDO </t>
  </si>
  <si>
    <t xml:space="preserve">COF 255 - PPM DECOLORANTE </t>
  </si>
  <si>
    <t xml:space="preserve"> INDICADOR $m3 </t>
  </si>
  <si>
    <t xml:space="preserve">CONSUMO LITROS ACIDO (L) </t>
  </si>
  <si>
    <t xml:space="preserve">CONSUMO LITROS COAGULANTE (L) </t>
  </si>
  <si>
    <t xml:space="preserve">CONSUMO LITROS DECOLORANTE (L) </t>
  </si>
  <si>
    <t xml:space="preserve">CONSUMO POL ANIONICO (KG) </t>
  </si>
  <si>
    <t xml:space="preserve">CONSUMO POL CATIONICO (KG) </t>
  </si>
  <si>
    <t xml:space="preserve">KG POL ANIONICO  </t>
  </si>
  <si>
    <t xml:space="preserve">KG POL CATIONICO  </t>
  </si>
  <si>
    <t xml:space="preserve">KG ACIDO </t>
  </si>
  <si>
    <t xml:space="preserve">KG COAGULANTE </t>
  </si>
  <si>
    <t xml:space="preserve">KG DECOLORANTE  </t>
  </si>
  <si>
    <t>1. COSTO Vs CONSUMO DE PRODUCTOS QUIMICOS</t>
  </si>
  <si>
    <t>CALIDAD DE AGUA Vs COSTOS</t>
  </si>
  <si>
    <t>MINIMO</t>
  </si>
  <si>
    <t>MAXIMO</t>
  </si>
  <si>
    <t>PROMEDIO</t>
  </si>
  <si>
    <t>PPM</t>
  </si>
  <si>
    <t>COF 255 - DECOLORANTE</t>
  </si>
  <si>
    <t>COF 235 - COAGULANTE</t>
  </si>
  <si>
    <t>COF 280 - ACIDIFICANTE</t>
  </si>
  <si>
    <t>COF 440 - POLIMERO ANIONICO</t>
  </si>
  <si>
    <t>COF 494 - POLIMERO CATIONICO</t>
  </si>
  <si>
    <t>CALIDAD DE AGUA</t>
  </si>
  <si>
    <t>$ REMOCIÓN DQO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</si>
  <si>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</si>
  <si>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</si>
  <si>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</si>
  <si>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</si>
  <si>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</si>
  <si>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</si>
  <si>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</si>
  <si>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</si>
  <si>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</si>
  <si>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</si>
  <si>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</si>
  <si>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</si>
  <si>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</si>
  <si>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</si>
  <si>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</si>
  <si>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</si>
  <si>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</si>
  <si>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</si>
  <si>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</si>
  <si>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</si>
  <si>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</si>
  <si>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</si>
  <si>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</si>
  <si>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</si>
  <si>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</si>
  <si>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</si>
  <si>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</si>
  <si>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</si>
  <si>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</si>
  <si>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</si>
  <si>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</si>
  <si>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</si>
  <si>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</si>
  <si>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</si>
  <si>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</si>
  <si>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</si>
  <si>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</si>
  <si>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</si>
  <si>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</si>
  <si>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</si>
  <si>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</si>
  <si>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</si>
  <si>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</si>
  <si>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</si>
  <si>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</si>
  <si>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</si>
  <si>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</si>
  <si>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</si>
  <si>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</si>
  <si>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</si>
  <si>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</si>
  <si>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</si>
  <si>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</si>
  <si>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</si>
  <si>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</si>
  <si>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</si>
  <si>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</si>
  <si>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</si>
  <si>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</si>
  <si>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</si>
  <si>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$ CONSOLIDADO</t>
  </si>
  <si>
    <t>REMOCIÓN DQO mg/L</t>
  </si>
  <si>
    <t>DQO INICIAL (mg/L)</t>
  </si>
  <si>
    <t>DQO SALIDA (mg/L)</t>
  </si>
  <si>
    <t>DQO REMOMOVIDA (mg/L)</t>
  </si>
  <si>
    <t>KG REMOVIDOS DQO / M3</t>
  </si>
  <si>
    <t>M3 TRATADOS</t>
  </si>
  <si>
    <t>TOTAL KG DQO REMOVIDOS</t>
  </si>
  <si>
    <t>$TRATAMIENTO</t>
  </si>
  <si>
    <t>$ REMOVER KG DQO</t>
  </si>
  <si>
    <t>PANORAMA OPERATIVO</t>
  </si>
  <si>
    <t>VOLUMEN TRATADO GEM  (m3)</t>
  </si>
  <si>
    <t xml:space="preserve">HORAS </t>
  </si>
  <si>
    <t>VOLUMEN TRATADO GEM (m3)</t>
  </si>
  <si>
    <t>PANORAMA OPERATIVO GEM</t>
  </si>
  <si>
    <t>PANORAMA OPERATIVO RO</t>
  </si>
  <si>
    <t xml:space="preserve">VOLUMEN ENVIADO A RO (m3) </t>
  </si>
  <si>
    <t>TIEMPO DE OPERACIÓN</t>
  </si>
  <si>
    <t>Etiquetas de fila</t>
  </si>
  <si>
    <t>Q DE OPERACIÓN (m3/h)</t>
  </si>
  <si>
    <t>$ HORA DE TRATAMIENTO RO</t>
  </si>
  <si>
    <t>$ HORA DE TRATAMIENTO GEM</t>
  </si>
  <si>
    <t xml:space="preserve">COSTO QUIMICA  </t>
  </si>
  <si>
    <t>COSTO QUIMICA  GEM</t>
  </si>
  <si>
    <t>KPIs</t>
  </si>
  <si>
    <t>PERCENTIL 90</t>
  </si>
  <si>
    <t xml:space="preserve">CARGA REMOVIDA KG/DIA DQO </t>
  </si>
  <si>
    <t>CARGA REMOVIDA KG/DIA SST</t>
  </si>
  <si>
    <t>ENTRADA GEM</t>
  </si>
  <si>
    <t>SALIDA GEM</t>
  </si>
  <si>
    <t>INDICE DE ESTABILIDAD DEL AFLUENTE - EFLUENTE (CV%)</t>
  </si>
  <si>
    <t>COLOR</t>
  </si>
  <si>
    <t>DQO</t>
  </si>
  <si>
    <t>SST</t>
  </si>
  <si>
    <t>REMOCIÓN SST mg/L</t>
  </si>
  <si>
    <t>KG REMOVIDOS SST / M3</t>
  </si>
  <si>
    <t>$ REMOVER KG SST</t>
  </si>
  <si>
    <t>TOTAL CONSUMIDO</t>
  </si>
  <si>
    <t xml:space="preserve">INDICADOR $ACIDO/M3 </t>
  </si>
  <si>
    <t xml:space="preserve"> INDICADOR $COAGULANTE/M3 </t>
  </si>
  <si>
    <t xml:space="preserve">INDICADOR $DECOLORANTE/M3 </t>
  </si>
  <si>
    <t xml:space="preserve">INDICADOR $POL ANIONICO/ M3 </t>
  </si>
  <si>
    <t xml:space="preserve"> INDICADOR $POL CATIONICO / M3 </t>
  </si>
  <si>
    <t>$</t>
  </si>
  <si>
    <t>HORAS DE OPERACIÓN</t>
  </si>
  <si>
    <t xml:space="preserve">HORAS DE OPERACIÓN </t>
  </si>
  <si>
    <t xml:space="preserve">  2025 $m3 GEM </t>
  </si>
  <si>
    <t>L/DIA</t>
  </si>
  <si>
    <t>KG/DIA</t>
  </si>
  <si>
    <t>COSTO PLANTA DE TRATAMIENTO DE AGUA RESIDUAL</t>
  </si>
  <si>
    <t>Clasificación</t>
  </si>
  <si>
    <t>Detalle</t>
  </si>
  <si>
    <t>Unidad</t>
  </si>
  <si>
    <t>Dosificación</t>
  </si>
  <si>
    <t>Marzo 2026</t>
  </si>
  <si>
    <t>Abril 2026</t>
  </si>
  <si>
    <t>Mayo 2026</t>
  </si>
  <si>
    <t>Junio 2026</t>
  </si>
  <si>
    <t>Julio 2026</t>
  </si>
  <si>
    <t>Agosto 2026</t>
  </si>
  <si>
    <t>Septiembre 2026</t>
  </si>
  <si>
    <t>Octubre 2026</t>
  </si>
  <si>
    <t>Noviembre 2026</t>
  </si>
  <si>
    <t>Diciembre 2026</t>
  </si>
  <si>
    <t xml:space="preserve">Total general </t>
  </si>
  <si>
    <t>$/Kg</t>
  </si>
  <si>
    <t>$ Total</t>
  </si>
  <si>
    <t>$/M3</t>
  </si>
  <si>
    <t>Kg/m3</t>
  </si>
  <si>
    <t>QUIMICOS (GEM + RO)</t>
  </si>
  <si>
    <t>ACIDO CLORHIDRICO 31,5%</t>
  </si>
  <si>
    <t>kg</t>
  </si>
  <si>
    <t>SODIO BISULFITO</t>
  </si>
  <si>
    <t>NITRATO DE PLATA</t>
  </si>
  <si>
    <t>ACIDIFICANTE</t>
  </si>
  <si>
    <t>QUIMICO FLOCULANTE PARA TRATAMIENTO DE AGUA (Catiónico)</t>
  </si>
  <si>
    <t>QUIMICO FLOCULANTE PARA TRATAMIENTO DE AGUA (Aniónico)</t>
  </si>
  <si>
    <t>QUIMICO COAGULANTE PARA TRATAMIENTO DE AGUA (Coagulante)</t>
  </si>
  <si>
    <t>QUIMICO COAGULANTE PARA TRATAMIENTO DE AGUA (Decolorante)</t>
  </si>
  <si>
    <t>HIPOCLORITO DE SODIO</t>
  </si>
  <si>
    <t>SODA CAUSTICA LIQUI48%  90 KL</t>
  </si>
  <si>
    <t>QUIMICO ANTINCRUSTANTE PARA ÓSMOSIS INVERSA</t>
  </si>
  <si>
    <t>QUIMICO PARA TRATAMIENTO CIP ALCALINO ÓSMOSIS INVERSA</t>
  </si>
  <si>
    <t>QUIMICO PARA TRATAMIENTO BIODISPERSANTE ÓMOSIS INVERSA</t>
  </si>
  <si>
    <t>QUIMICO PARA TRATAMIENTO CIP ACIDO ÓSMOSIS INVERSA</t>
  </si>
  <si>
    <t>ACIDO CÍTRICO</t>
  </si>
  <si>
    <t>Subtotal</t>
  </si>
  <si>
    <t>PTAR FASE 2</t>
  </si>
  <si>
    <t>COSTO PLANTA DE TRATAMIENTO DE AGUA DE POZO PROFUNDO</t>
  </si>
  <si>
    <t>PTAP</t>
  </si>
  <si>
    <t>kg/m3 PROYECCION</t>
  </si>
  <si>
    <t>Kg/m3 REAL</t>
  </si>
  <si>
    <t>$ Total 
PROYECCIÓN</t>
  </si>
  <si>
    <t>$/M3
PROYECCIÓN</t>
  </si>
  <si>
    <t>$/M3
REAL</t>
  </si>
  <si>
    <t>$ Total 
REAL</t>
  </si>
  <si>
    <t>% CONSUMO $Total</t>
  </si>
  <si>
    <t xml:space="preserve">DIFERENCIAL $/M3
</t>
  </si>
  <si>
    <t>% CONSUMO Kg/m3</t>
  </si>
  <si>
    <t>PROYECCIÓN Kg/M3</t>
  </si>
  <si>
    <t>REAL Kg/ M3</t>
  </si>
  <si>
    <t>PROYECCIÓN CONSUMO Kg</t>
  </si>
  <si>
    <t>CONSOLIDADO CONSUMO Kg</t>
  </si>
  <si>
    <t>Por cada CIP son 19 Kg de acido aprox</t>
  </si>
  <si>
    <t xml:space="preserve">40 mL dia * 3 dias a la semana </t>
  </si>
  <si>
    <t>Por cada CIP 30 Kg de soda</t>
  </si>
  <si>
    <t>SST INICIAL (mg/L)</t>
  </si>
  <si>
    <t>SST SALIDA (mg/L)</t>
  </si>
  <si>
    <t xml:space="preserve"> SST REMOVIDOS (mg/L)</t>
  </si>
  <si>
    <t>ABRIL 2026</t>
  </si>
  <si>
    <t>ABRIL REAL</t>
  </si>
  <si>
    <t>80</t>
  </si>
  <si>
    <t>(Varios elementos)</t>
  </si>
  <si>
    <t>cm Vitec 7000/4000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</si>
</sst>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  <numFmt numFmtId="170" formatCode="_-* #,##0_-;\-* #,##0_-;_-* &quot;-&quot;??_-;_-@_-"/>
    <numFmt numFmtId="171" formatCode="_-* #,##0.000_-;\-* #,##0.000_-;_-* &quot;-&quot;??_-;_-@_-"/>
    <numFmt numFmtId="172" formatCode="#,##0.0000"/>
    <numFmt numFmtId="173" formatCode="#,##0.00000"/>
    <numFmt numFmtId="174" formatCode="&quot;$&quot;\ #,##0.0"/>
    <numFmt numFmtId="175" formatCode="_-&quot;$&quot;\ * #,##0.0_-;\-&quot;$&quot;\ * #,##0.0_-;_-&quot;$&quot;\ * &quot;-&quot;??_-;_-@_-"/>
    <numFmt numFmtId="176" formatCode="_-* #,##0.0000_-;\-* #,##0.0000_-;_-* &quot;-&quot;??_-;_-@_-"/>
    <numFmt numFmtId="177" formatCode="0.000"/>
    <numFmt numFmtId="178" formatCode="0.000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8D8C0"/>
        <bgColor indexed="64"/>
      </patternFill>
    </fill>
    <fill>
      <patternFill patternType="solid">
        <fgColor rgb="FFFBEADD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FEF5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10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1" fillId="0" borderId="0"/>
    <xf numFmtId="0" fontId="21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/>
    <xf numFmtId="0" fontId="7" fillId="0" borderId="0"/>
  </cellStyleXfs>
  <cellXfs count="879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89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0" fontId="12" fillId="21" borderId="90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2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2" xfId="0" applyNumberFormat="1" applyFont="1" applyFill="1" applyBorder="1"/>
    <xf numFmtId="3" fontId="19" fillId="8" borderId="10" xfId="0" applyNumberFormat="1" applyFont="1" applyFill="1" applyBorder="1" applyAlignment="1">
      <alignment horizontal="center"/>
    </xf>
    <xf numFmtId="165" fontId="19" fillId="8" borderId="10" xfId="0" applyNumberFormat="1" applyFont="1" applyFill="1" applyBorder="1" applyAlignment="1">
      <alignment horizontal="right"/>
    </xf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0" fontId="0" fillId="0" borderId="10" xfId="0" applyBorder="1"/>
    <xf numFmtId="0" fontId="0" fillId="0" borderId="15" xfId="0" applyBorder="1"/>
    <xf numFmtId="14" fontId="0" fillId="0" borderId="22" xfId="0" applyNumberFormat="1" applyBorder="1" applyAlignment="1">
      <alignment horizontal="left"/>
    </xf>
    <xf numFmtId="0" fontId="0" fillId="0" borderId="12" xfId="0" applyBorder="1"/>
    <xf numFmtId="0" fontId="18" fillId="0" borderId="0" xfId="0" applyFont="1"/>
    <xf numFmtId="1" fontId="0" fillId="0" borderId="51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89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7" xfId="0" applyNumberFormat="1" applyFont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19" fillId="8" borderId="10" xfId="0" applyNumberFormat="1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0" xfId="0" applyNumberFormat="1" applyFill="1" applyBorder="1"/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88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left"/>
    </xf>
    <xf numFmtId="3" fontId="0" fillId="6" borderId="27" xfId="0" applyNumberFormat="1" applyFill="1" applyBorder="1"/>
    <xf numFmtId="3" fontId="0" fillId="6" borderId="27" xfId="0" applyNumberFormat="1" applyFill="1" applyBorder="1" applyAlignment="1">
      <alignment horizontal="center"/>
    </xf>
    <xf numFmtId="3" fontId="0" fillId="6" borderId="28" xfId="0" applyNumberFormat="1" applyFill="1" applyBorder="1"/>
    <xf numFmtId="3" fontId="0" fillId="6" borderId="28" xfId="0" applyNumberFormat="1" applyFill="1" applyBorder="1" applyAlignment="1">
      <alignment horizontal="center"/>
    </xf>
    <xf numFmtId="3" fontId="0" fillId="6" borderId="29" xfId="0" applyNumberFormat="1" applyFill="1" applyBorder="1"/>
    <xf numFmtId="3" fontId="0" fillId="6" borderId="29" xfId="0" applyNumberFormat="1" applyFill="1" applyBorder="1" applyAlignment="1">
      <alignment horizontal="center"/>
    </xf>
    <xf numFmtId="0" fontId="0" fillId="28" borderId="0" xfId="0" applyFill="1"/>
    <xf numFmtId="1" fontId="0" fillId="30" borderId="29" xfId="0" applyNumberFormat="1" applyFill="1" applyBorder="1" applyAlignment="1">
      <alignment horizontal="left"/>
    </xf>
    <xf numFmtId="3" fontId="0" fillId="30" borderId="29" xfId="0" applyNumberFormat="1" applyFill="1" applyBorder="1"/>
    <xf numFmtId="3" fontId="0" fillId="30" borderId="29" xfId="0" applyNumberFormat="1" applyFill="1" applyBorder="1" applyAlignment="1">
      <alignment horizontal="center"/>
    </xf>
    <xf numFmtId="0" fontId="0" fillId="30" borderId="0" xfId="0" applyFill="1"/>
    <xf numFmtId="3" fontId="0" fillId="30" borderId="27" xfId="0" applyNumberFormat="1" applyFill="1" applyBorder="1"/>
    <xf numFmtId="3" fontId="0" fillId="30" borderId="27" xfId="0" applyNumberFormat="1" applyFill="1" applyBorder="1" applyAlignment="1">
      <alignment horizontal="center"/>
    </xf>
    <xf numFmtId="3" fontId="0" fillId="30" borderId="28" xfId="0" applyNumberFormat="1" applyFill="1" applyBorder="1"/>
    <xf numFmtId="3" fontId="0" fillId="30" borderId="28" xfId="0" applyNumberFormat="1" applyFill="1" applyBorder="1" applyAlignment="1">
      <alignment horizontal="center"/>
    </xf>
    <xf numFmtId="0" fontId="0" fillId="0" borderId="0" xfId="0" pivotButton="1"/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1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0" fontId="1" fillId="8" borderId="0" xfId="0" applyFont="1" applyFill="1" applyAlignment="1">
      <alignment vertical="center" wrapText="1"/>
    </xf>
    <xf numFmtId="0" fontId="0" fillId="0" borderId="0" xfId="0" applyAlignment="1">
      <alignment wrapText="1"/>
    </xf>
    <xf numFmtId="3" fontId="0" fillId="0" borderId="9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44" fontId="0" fillId="0" borderId="19" xfId="0" applyNumberFormat="1" applyBorder="1" applyAlignment="1">
      <alignment horizontal="center"/>
    </xf>
    <xf numFmtId="170" fontId="0" fillId="21" borderId="0" xfId="7" applyNumberFormat="1" applyFont="1" applyFill="1"/>
    <xf numFmtId="0" fontId="16" fillId="8" borderId="10" xfId="0" applyFont="1" applyFill="1" applyBorder="1" applyAlignment="1">
      <alignment horizontal="center" vertical="center" wrapText="1"/>
    </xf>
    <xf numFmtId="167" fontId="23" fillId="0" borderId="10" xfId="2" applyNumberFormat="1" applyFont="1" applyBorder="1"/>
    <xf numFmtId="0" fontId="0" fillId="20" borderId="0" xfId="0" applyFill="1"/>
    <xf numFmtId="2" fontId="0" fillId="0" borderId="0" xfId="0" applyNumberFormat="1"/>
    <xf numFmtId="0" fontId="0" fillId="31" borderId="10" xfId="0" applyFill="1" applyBorder="1" applyAlignment="1">
      <alignment horizontal="center" wrapText="1"/>
    </xf>
    <xf numFmtId="0" fontId="0" fillId="19" borderId="0" xfId="0" applyFill="1"/>
    <xf numFmtId="1" fontId="23" fillId="8" borderId="10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0" fontId="0" fillId="8" borderId="21" xfId="0" applyFill="1" applyBorder="1" applyAlignment="1">
      <alignment horizontal="left"/>
    </xf>
    <xf numFmtId="0" fontId="1" fillId="8" borderId="65" xfId="0" applyFont="1" applyFill="1" applyBorder="1" applyAlignment="1">
      <alignment horizontal="center" vertical="center"/>
    </xf>
    <xf numFmtId="0" fontId="1" fillId="8" borderId="66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0" fontId="0" fillId="8" borderId="10" xfId="0" applyFill="1" applyBorder="1" applyAlignment="1">
      <alignment horizontal="center" wrapText="1"/>
    </xf>
    <xf numFmtId="0" fontId="24" fillId="21" borderId="99" xfId="0" applyFont="1" applyFill="1" applyBorder="1" applyAlignment="1">
      <alignment horizontal="center" vertical="center" wrapText="1"/>
    </xf>
    <xf numFmtId="0" fontId="24" fillId="21" borderId="98" xfId="0" applyFont="1" applyFill="1" applyBorder="1" applyAlignment="1">
      <alignment horizontal="center" vertical="center" wrapText="1"/>
    </xf>
    <xf numFmtId="165" fontId="0" fillId="34" borderId="98" xfId="0" applyNumberFormat="1" applyFill="1" applyBorder="1"/>
    <xf numFmtId="49" fontId="12" fillId="25" borderId="91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49" fontId="12" fillId="21" borderId="91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10" fontId="0" fillId="0" borderId="19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3" fontId="0" fillId="8" borderId="10" xfId="0" applyNumberFormat="1" applyFill="1" applyBorder="1"/>
    <xf numFmtId="170" fontId="0" fillId="0" borderId="0" xfId="0" applyNumberFormat="1"/>
    <xf numFmtId="164" fontId="0" fillId="8" borderId="10" xfId="0" applyNumberFormat="1" applyFill="1" applyBorder="1"/>
    <xf numFmtId="0" fontId="1" fillId="8" borderId="0" xfId="0" applyFont="1" applyFill="1" applyAlignment="1">
      <alignment horizontal="center"/>
    </xf>
    <xf numFmtId="164" fontId="0" fillId="8" borderId="0" xfId="0" applyNumberFormat="1" applyFill="1"/>
    <xf numFmtId="43" fontId="0" fillId="8" borderId="0" xfId="7" applyFont="1" applyFill="1"/>
    <xf numFmtId="44" fontId="0" fillId="8" borderId="0" xfId="2" applyFont="1" applyFill="1"/>
    <xf numFmtId="43" fontId="0" fillId="8" borderId="0" xfId="0" applyNumberFormat="1" applyFill="1"/>
    <xf numFmtId="0" fontId="0" fillId="8" borderId="10" xfId="0" applyFill="1" applyBorder="1" applyAlignment="1">
      <alignment horizontal="center" vertical="center" wrapText="1"/>
    </xf>
    <xf numFmtId="170" fontId="0" fillId="8" borderId="10" xfId="7" applyNumberFormat="1" applyFont="1" applyFill="1" applyBorder="1" applyAlignment="1">
      <alignment vertical="center"/>
    </xf>
    <xf numFmtId="3" fontId="0" fillId="8" borderId="10" xfId="0" applyNumberFormat="1" applyFill="1" applyBorder="1" applyAlignment="1">
      <alignment vertical="center"/>
    </xf>
    <xf numFmtId="171" fontId="0" fillId="8" borderId="10" xfId="7" applyNumberFormat="1" applyFont="1" applyFill="1" applyBorder="1" applyAlignment="1">
      <alignment vertical="center"/>
    </xf>
    <xf numFmtId="167" fontId="0" fillId="8" borderId="10" xfId="8" applyNumberFormat="1" applyFont="1" applyFill="1" applyBorder="1" applyAlignment="1"/>
    <xf numFmtId="167" fontId="0" fillId="8" borderId="10" xfId="2" applyNumberFormat="1" applyFont="1" applyFill="1" applyBorder="1" applyAlignment="1"/>
    <xf numFmtId="0" fontId="0" fillId="11" borderId="0" xfId="0" applyFill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3" fontId="11" fillId="18" borderId="11" xfId="0" applyNumberFormat="1" applyFont="1" applyFill="1" applyBorder="1" applyAlignment="1">
      <alignment horizontal="right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3" fontId="11" fillId="29" borderId="31" xfId="0" applyNumberFormat="1" applyFont="1" applyFill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89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0" fontId="0" fillId="18" borderId="89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89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89" xfId="0" applyFill="1" applyBorder="1" applyAlignment="1">
      <alignment horizontal="center"/>
    </xf>
    <xf numFmtId="0" fontId="0" fillId="21" borderId="89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0" fontId="0" fillId="21" borderId="89" xfId="0" applyFill="1" applyBorder="1"/>
    <xf numFmtId="0" fontId="0" fillId="11" borderId="10" xfId="0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89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89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11" borderId="10" xfId="0" applyFill="1" applyBorder="1" applyAlignment="1">
      <alignment horizontal="center" wrapText="1"/>
    </xf>
    <xf numFmtId="3" fontId="0" fillId="11" borderId="10" xfId="0" applyNumberFormat="1" applyFill="1" applyBorder="1" applyAlignment="1">
      <alignment horizontal="center" vertical="center" wrapText="1"/>
    </xf>
    <xf numFmtId="0" fontId="0" fillId="5" borderId="89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166" fontId="0" fillId="8" borderId="10" xfId="0" applyNumberFormat="1" applyFill="1" applyBorder="1" applyAlignment="1">
      <alignment horizontal="center"/>
    </xf>
    <xf numFmtId="14" fontId="0" fillId="0" borderId="69" xfId="0" applyNumberFormat="1" applyBorder="1" applyAlignment="1">
      <alignment horizontal="left"/>
    </xf>
    <xf numFmtId="14" fontId="0" fillId="0" borderId="67" xfId="0" applyNumberFormat="1" applyBorder="1" applyAlignment="1">
      <alignment horizontal="left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165" fontId="25" fillId="6" borderId="75" xfId="13" applyFont="1" applyFill="1" applyBorder="1" applyAlignment="1">
      <alignment horizontal="center" vertical="center" wrapText="1"/>
    </xf>
    <xf numFmtId="49" fontId="26" fillId="36" borderId="84" xfId="2" applyNumberFormat="1" applyFont="1" applyFill="1" applyBorder="1" applyAlignment="1">
      <alignment horizontal="center" vertical="center" wrapText="1"/>
    </xf>
    <xf numFmtId="49" fontId="25" fillId="36" borderId="84" xfId="2" applyNumberFormat="1" applyFont="1" applyFill="1" applyBorder="1" applyAlignment="1">
      <alignment horizontal="center" vertical="center" wrapText="1"/>
    </xf>
    <xf numFmtId="49" fontId="26" fillId="36" borderId="85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3" fontId="26" fillId="36" borderId="84" xfId="2" applyNumberFormat="1" applyFont="1" applyFill="1" applyBorder="1" applyAlignment="1">
      <alignment horizontal="center" vertical="center" wrapText="1"/>
    </xf>
    <xf numFmtId="3" fontId="25" fillId="36" borderId="84" xfId="2" applyNumberFormat="1" applyFont="1" applyFill="1" applyBorder="1" applyAlignment="1">
      <alignment horizontal="center" vertical="center" wrapText="1"/>
    </xf>
    <xf numFmtId="3" fontId="26" fillId="36" borderId="85" xfId="2" applyNumberFormat="1" applyFont="1" applyFill="1" applyBorder="1" applyAlignment="1">
      <alignment horizontal="center" vertical="center" wrapText="1"/>
    </xf>
    <xf numFmtId="3" fontId="26" fillId="37" borderId="89" xfId="13" applyNumberFormat="1" applyFont="1" applyFill="1" applyBorder="1" applyAlignment="1">
      <alignment horizontal="center" vertical="center" wrapText="1"/>
    </xf>
    <xf numFmtId="165" fontId="27" fillId="0" borderId="51" xfId="13" applyFont="1" applyBorder="1" applyAlignment="1">
      <alignment horizontal="center" vertical="center" wrapText="1"/>
    </xf>
    <xf numFmtId="41" fontId="28" fillId="0" borderId="51" xfId="12" applyFont="1" applyBorder="1" applyAlignment="1">
      <alignment horizontal="center" vertical="center" wrapText="1"/>
    </xf>
    <xf numFmtId="172" fontId="28" fillId="0" borderId="62" xfId="12" applyNumberFormat="1" applyFont="1" applyBorder="1" applyAlignment="1">
      <alignment horizontal="center" vertical="center" wrapText="1"/>
    </xf>
    <xf numFmtId="3" fontId="27" fillId="38" borderId="12" xfId="2" applyNumberFormat="1" applyFont="1" applyFill="1" applyBorder="1" applyAlignment="1">
      <alignment horizontal="center" vertical="center" wrapText="1"/>
    </xf>
    <xf numFmtId="3" fontId="27" fillId="38" borderId="17" xfId="2" applyNumberFormat="1" applyFont="1" applyFill="1" applyBorder="1" applyAlignment="1">
      <alignment horizontal="center" vertical="center" wrapText="1"/>
    </xf>
    <xf numFmtId="167" fontId="27" fillId="22" borderId="55" xfId="2" applyNumberFormat="1" applyFont="1" applyFill="1" applyBorder="1" applyAlignment="1">
      <alignment horizontal="center" vertical="center" wrapText="1"/>
    </xf>
    <xf numFmtId="166" fontId="14" fillId="0" borderId="63" xfId="8" applyNumberFormat="1" applyFont="1" applyFill="1" applyBorder="1" applyAlignment="1">
      <alignment horizontal="center" vertical="center" wrapText="1"/>
    </xf>
    <xf numFmtId="166" fontId="14" fillId="0" borderId="55" xfId="12" applyNumberFormat="1" applyFont="1" applyFill="1" applyBorder="1" applyAlignment="1">
      <alignment horizontal="center" vertical="center" wrapText="1"/>
    </xf>
    <xf numFmtId="165" fontId="27" fillId="0" borderId="10" xfId="13" applyFont="1" applyBorder="1" applyAlignment="1">
      <alignment horizontal="center" vertical="center" wrapText="1"/>
    </xf>
    <xf numFmtId="41" fontId="28" fillId="0" borderId="10" xfId="12" applyFont="1" applyBorder="1" applyAlignment="1">
      <alignment horizontal="center" vertical="center" wrapText="1"/>
    </xf>
    <xf numFmtId="172" fontId="28" fillId="0" borderId="26" xfId="12" applyNumberFormat="1" applyFont="1" applyBorder="1" applyAlignment="1">
      <alignment horizontal="center" vertical="center" wrapText="1"/>
    </xf>
    <xf numFmtId="3" fontId="27" fillId="38" borderId="10" xfId="2" applyNumberFormat="1" applyFont="1" applyFill="1" applyBorder="1" applyAlignment="1">
      <alignment horizontal="center" vertical="center" wrapText="1"/>
    </xf>
    <xf numFmtId="3" fontId="27" fillId="38" borderId="18" xfId="2" applyNumberFormat="1" applyFont="1" applyFill="1" applyBorder="1" applyAlignment="1">
      <alignment horizontal="center" vertical="center" wrapText="1"/>
    </xf>
    <xf numFmtId="167" fontId="27" fillId="22" borderId="18" xfId="2" applyNumberFormat="1" applyFont="1" applyFill="1" applyBorder="1" applyAlignment="1">
      <alignment horizontal="center" vertical="center" wrapText="1"/>
    </xf>
    <xf numFmtId="166" fontId="14" fillId="0" borderId="20" xfId="8" applyNumberFormat="1" applyFont="1" applyFill="1" applyBorder="1" applyAlignment="1">
      <alignment horizontal="center" vertical="center" wrapText="1"/>
    </xf>
    <xf numFmtId="41" fontId="28" fillId="0" borderId="10" xfId="12" applyFont="1" applyFill="1" applyBorder="1" applyAlignment="1">
      <alignment horizontal="center" vertical="center" wrapText="1"/>
    </xf>
    <xf numFmtId="4" fontId="14" fillId="38" borderId="10" xfId="2" applyNumberFormat="1" applyFont="1" applyFill="1" applyBorder="1" applyAlignment="1">
      <alignment horizontal="center" vertical="center" wrapText="1"/>
    </xf>
    <xf numFmtId="4" fontId="14" fillId="38" borderId="18" xfId="2" applyNumberFormat="1" applyFont="1" applyFill="1" applyBorder="1" applyAlignment="1">
      <alignment horizontal="center" vertical="center" wrapText="1"/>
    </xf>
    <xf numFmtId="41" fontId="27" fillId="0" borderId="10" xfId="12" applyFont="1" applyBorder="1" applyAlignment="1">
      <alignment horizontal="center" vertical="center" wrapText="1"/>
    </xf>
    <xf numFmtId="172" fontId="27" fillId="0" borderId="26" xfId="12" applyNumberFormat="1" applyFont="1" applyBorder="1" applyAlignment="1">
      <alignment horizontal="center" vertical="center" wrapText="1"/>
    </xf>
    <xf numFmtId="3" fontId="27" fillId="38" borderId="15" xfId="2" applyNumberFormat="1" applyFont="1" applyFill="1" applyBorder="1" applyAlignment="1">
      <alignment horizontal="center" vertical="center" wrapText="1"/>
    </xf>
    <xf numFmtId="3" fontId="27" fillId="38" borderId="19" xfId="2" applyNumberFormat="1" applyFont="1" applyFill="1" applyBorder="1" applyAlignment="1">
      <alignment horizontal="center" vertical="center" wrapText="1"/>
    </xf>
    <xf numFmtId="167" fontId="27" fillId="22" borderId="19" xfId="2" applyNumberFormat="1" applyFont="1" applyFill="1" applyBorder="1" applyAlignment="1">
      <alignment horizontal="center" vertical="center" wrapText="1"/>
    </xf>
    <xf numFmtId="167" fontId="25" fillId="0" borderId="102" xfId="2" applyNumberFormat="1" applyFont="1" applyFill="1" applyBorder="1" applyAlignment="1">
      <alignment horizontal="center" vertical="center" wrapText="1"/>
    </xf>
    <xf numFmtId="167" fontId="26" fillId="0" borderId="102" xfId="2" applyNumberFormat="1" applyFont="1" applyFill="1" applyBorder="1" applyAlignment="1">
      <alignment horizontal="center" vertical="center" wrapText="1"/>
    </xf>
    <xf numFmtId="167" fontId="25" fillId="0" borderId="103" xfId="2" applyNumberFormat="1" applyFont="1" applyFill="1" applyBorder="1" applyAlignment="1">
      <alignment horizontal="center" vertical="center" wrapText="1"/>
    </xf>
    <xf numFmtId="3" fontId="26" fillId="36" borderId="61" xfId="2" applyNumberFormat="1" applyFont="1" applyFill="1" applyBorder="1" applyAlignment="1">
      <alignment horizontal="center" vertical="center" wrapText="1"/>
    </xf>
    <xf numFmtId="3" fontId="27" fillId="22" borderId="63" xfId="2" applyNumberFormat="1" applyFont="1" applyFill="1" applyBorder="1" applyAlignment="1">
      <alignment horizontal="center" vertical="center" wrapText="1"/>
    </xf>
    <xf numFmtId="3" fontId="27" fillId="22" borderId="20" xfId="2" applyNumberFormat="1" applyFont="1" applyFill="1" applyBorder="1" applyAlignment="1">
      <alignment horizontal="center" vertical="center" wrapText="1"/>
    </xf>
    <xf numFmtId="3" fontId="27" fillId="22" borderId="95" xfId="2" applyNumberFormat="1" applyFont="1" applyFill="1" applyBorder="1" applyAlignment="1">
      <alignment horizontal="center" vertical="center" wrapText="1"/>
    </xf>
    <xf numFmtId="167" fontId="27" fillId="22" borderId="71" xfId="2" applyNumberFormat="1" applyFont="1" applyFill="1" applyBorder="1" applyAlignment="1">
      <alignment horizontal="center" vertical="center" wrapText="1"/>
    </xf>
    <xf numFmtId="167" fontId="26" fillId="0" borderId="103" xfId="2" applyNumberFormat="1" applyFont="1" applyFill="1" applyBorder="1" applyAlignment="1">
      <alignment horizontal="center" vertical="center" wrapText="1"/>
    </xf>
    <xf numFmtId="166" fontId="18" fillId="35" borderId="6" xfId="8" applyNumberFormat="1" applyFont="1" applyFill="1" applyBorder="1" applyAlignment="1">
      <alignment horizontal="center" vertical="center" wrapText="1"/>
    </xf>
    <xf numFmtId="165" fontId="18" fillId="0" borderId="89" xfId="13" applyFont="1" applyBorder="1" applyAlignment="1">
      <alignment horizontal="center" vertical="center" wrapText="1"/>
    </xf>
    <xf numFmtId="165" fontId="26" fillId="37" borderId="104" xfId="13" applyFont="1" applyFill="1" applyBorder="1" applyAlignment="1">
      <alignment horizontal="center" vertical="center" wrapText="1"/>
    </xf>
    <xf numFmtId="3" fontId="26" fillId="37" borderId="16" xfId="13" applyNumberFormat="1" applyFont="1" applyFill="1" applyBorder="1" applyAlignment="1">
      <alignment horizontal="center" vertical="center" wrapText="1"/>
    </xf>
    <xf numFmtId="3" fontId="27" fillId="22" borderId="34" xfId="2" applyNumberFormat="1" applyFont="1" applyFill="1" applyBorder="1" applyAlignment="1">
      <alignment horizontal="center" vertical="center" wrapText="1"/>
    </xf>
    <xf numFmtId="3" fontId="27" fillId="22" borderId="31" xfId="2" applyNumberFormat="1" applyFont="1" applyFill="1" applyBorder="1" applyAlignment="1">
      <alignment horizontal="center" vertical="center" wrapText="1"/>
    </xf>
    <xf numFmtId="3" fontId="27" fillId="22" borderId="70" xfId="2" applyNumberFormat="1" applyFont="1" applyFill="1" applyBorder="1" applyAlignment="1">
      <alignment horizontal="center" vertical="center" wrapText="1"/>
    </xf>
    <xf numFmtId="174" fontId="14" fillId="0" borderId="63" xfId="8" applyNumberFormat="1" applyFont="1" applyFill="1" applyBorder="1" applyAlignment="1">
      <alignment horizontal="center" vertical="center" wrapText="1"/>
    </xf>
    <xf numFmtId="166" fontId="14" fillId="0" borderId="0" xfId="8" applyNumberFormat="1" applyFont="1" applyFill="1" applyBorder="1" applyAlignment="1">
      <alignment horizontal="center" vertical="center" wrapText="1"/>
    </xf>
    <xf numFmtId="166" fontId="14" fillId="0" borderId="0" xfId="12" applyNumberFormat="1" applyFont="1" applyFill="1" applyBorder="1" applyAlignment="1">
      <alignment horizontal="center" vertical="center" wrapText="1"/>
    </xf>
    <xf numFmtId="3" fontId="26" fillId="37" borderId="6" xfId="13" applyNumberFormat="1" applyFont="1" applyFill="1" applyBorder="1" applyAlignment="1">
      <alignment horizontal="center" vertical="center" wrapText="1"/>
    </xf>
    <xf numFmtId="9" fontId="14" fillId="0" borderId="63" xfId="8" applyFont="1" applyFill="1" applyBorder="1" applyAlignment="1">
      <alignment horizontal="center" vertical="center" wrapText="1"/>
    </xf>
    <xf numFmtId="166" fontId="14" fillId="0" borderId="50" xfId="8" applyNumberFormat="1" applyFont="1" applyFill="1" applyBorder="1" applyAlignment="1">
      <alignment horizontal="center" vertical="center" wrapText="1"/>
    </xf>
    <xf numFmtId="166" fontId="14" fillId="0" borderId="60" xfId="8" applyNumberFormat="1" applyFont="1" applyFill="1" applyBorder="1" applyAlignment="1">
      <alignment horizontal="center" vertical="center" wrapText="1"/>
    </xf>
    <xf numFmtId="166" fontId="14" fillId="0" borderId="86" xfId="8" applyNumberFormat="1" applyFont="1" applyFill="1" applyBorder="1" applyAlignment="1">
      <alignment horizontal="center" vertical="center" wrapText="1"/>
    </xf>
    <xf numFmtId="174" fontId="14" fillId="0" borderId="50" xfId="8" applyNumberFormat="1" applyFont="1" applyFill="1" applyBorder="1" applyAlignment="1">
      <alignment horizontal="center" vertical="center" wrapText="1"/>
    </xf>
    <xf numFmtId="174" fontId="14" fillId="0" borderId="60" xfId="8" applyNumberFormat="1" applyFont="1" applyFill="1" applyBorder="1" applyAlignment="1">
      <alignment horizontal="center" vertical="center" wrapText="1"/>
    </xf>
    <xf numFmtId="165" fontId="27" fillId="0" borderId="11" xfId="13" applyFont="1" applyBorder="1" applyAlignment="1">
      <alignment horizontal="center" vertical="center" wrapText="1"/>
    </xf>
    <xf numFmtId="41" fontId="28" fillId="0" borderId="12" xfId="12" applyFont="1" applyBorder="1" applyAlignment="1">
      <alignment horizontal="center" vertical="center" wrapText="1"/>
    </xf>
    <xf numFmtId="166" fontId="14" fillId="0" borderId="11" xfId="8" applyNumberFormat="1" applyFont="1" applyFill="1" applyBorder="1" applyAlignment="1">
      <alignment horizontal="center" vertical="center" wrapText="1"/>
    </xf>
    <xf numFmtId="166" fontId="14" fillId="0" borderId="53" xfId="8" applyNumberFormat="1" applyFont="1" applyFill="1" applyBorder="1" applyAlignment="1">
      <alignment horizontal="center" vertical="center" wrapText="1"/>
    </xf>
    <xf numFmtId="174" fontId="14" fillId="0" borderId="11" xfId="8" applyNumberFormat="1" applyFont="1" applyFill="1" applyBorder="1" applyAlignment="1">
      <alignment horizontal="center" vertical="center" wrapText="1"/>
    </xf>
    <xf numFmtId="165" fontId="27" fillId="0" borderId="13" xfId="13" applyFont="1" applyBorder="1" applyAlignment="1">
      <alignment horizontal="center" vertical="center" wrapText="1"/>
    </xf>
    <xf numFmtId="0" fontId="27" fillId="0" borderId="13" xfId="14" applyFont="1" applyBorder="1" applyAlignment="1">
      <alignment horizontal="center" vertical="center" wrapText="1"/>
    </xf>
    <xf numFmtId="49" fontId="27" fillId="0" borderId="13" xfId="13" applyNumberFormat="1" applyFont="1" applyBorder="1" applyAlignment="1">
      <alignment horizontal="center" vertical="center" wrapText="1"/>
    </xf>
    <xf numFmtId="165" fontId="27" fillId="0" borderId="14" xfId="13" applyFont="1" applyBorder="1" applyAlignment="1">
      <alignment horizontal="center" vertical="center" wrapText="1"/>
    </xf>
    <xf numFmtId="41" fontId="28" fillId="0" borderId="15" xfId="12" applyFont="1" applyBorder="1" applyAlignment="1">
      <alignment horizontal="center" vertical="center" wrapText="1"/>
    </xf>
    <xf numFmtId="165" fontId="25" fillId="6" borderId="17" xfId="13" applyFont="1" applyFill="1" applyBorder="1" applyAlignment="1">
      <alignment horizontal="center" vertical="center" wrapText="1"/>
    </xf>
    <xf numFmtId="172" fontId="28" fillId="0" borderId="17" xfId="12" applyNumberFormat="1" applyFont="1" applyBorder="1" applyAlignment="1">
      <alignment horizontal="center" vertical="center" wrapText="1"/>
    </xf>
    <xf numFmtId="172" fontId="28" fillId="0" borderId="18" xfId="12" applyNumberFormat="1" applyFont="1" applyBorder="1" applyAlignment="1">
      <alignment horizontal="center" vertical="center" wrapText="1"/>
    </xf>
    <xf numFmtId="173" fontId="28" fillId="0" borderId="18" xfId="12" applyNumberFormat="1" applyFont="1" applyFill="1" applyBorder="1" applyAlignment="1">
      <alignment horizontal="center" vertical="center" wrapText="1"/>
    </xf>
    <xf numFmtId="172" fontId="27" fillId="0" borderId="18" xfId="12" applyNumberFormat="1" applyFont="1" applyBorder="1" applyAlignment="1">
      <alignment horizontal="center" vertical="center" wrapText="1"/>
    </xf>
    <xf numFmtId="172" fontId="28" fillId="0" borderId="19" xfId="12" applyNumberFormat="1" applyFont="1" applyBorder="1" applyAlignment="1">
      <alignment horizontal="center" vertical="center" wrapText="1"/>
    </xf>
    <xf numFmtId="173" fontId="27" fillId="8" borderId="12" xfId="2" applyNumberFormat="1" applyFont="1" applyFill="1" applyBorder="1" applyAlignment="1">
      <alignment horizontal="center" vertical="center" wrapText="1"/>
    </xf>
    <xf numFmtId="173" fontId="27" fillId="8" borderId="10" xfId="2" applyNumberFormat="1" applyFont="1" applyFill="1" applyBorder="1" applyAlignment="1">
      <alignment horizontal="center" vertical="center" wrapText="1"/>
    </xf>
    <xf numFmtId="173" fontId="14" fillId="8" borderId="10" xfId="2" applyNumberFormat="1" applyFont="1" applyFill="1" applyBorder="1" applyAlignment="1">
      <alignment horizontal="center" vertical="center" wrapText="1"/>
    </xf>
    <xf numFmtId="173" fontId="27" fillId="8" borderId="15" xfId="2" applyNumberFormat="1" applyFont="1" applyFill="1" applyBorder="1" applyAlignment="1">
      <alignment horizontal="center" vertical="center" wrapText="1"/>
    </xf>
    <xf numFmtId="174" fontId="14" fillId="0" borderId="53" xfId="8" applyNumberFormat="1" applyFont="1" applyFill="1" applyBorder="1" applyAlignment="1">
      <alignment horizontal="center" vertical="center" wrapText="1"/>
    </xf>
    <xf numFmtId="174" fontId="14" fillId="0" borderId="86" xfId="8" applyNumberFormat="1" applyFont="1" applyFill="1" applyBorder="1" applyAlignment="1">
      <alignment horizontal="center" vertical="center" wrapText="1"/>
    </xf>
    <xf numFmtId="175" fontId="27" fillId="8" borderId="17" xfId="2" applyNumberFormat="1" applyFont="1" applyFill="1" applyBorder="1" applyAlignment="1">
      <alignment horizontal="center" vertical="center" wrapText="1"/>
    </xf>
    <xf numFmtId="175" fontId="27" fillId="8" borderId="18" xfId="2" applyNumberFormat="1" applyFont="1" applyFill="1" applyBorder="1" applyAlignment="1">
      <alignment horizontal="center" vertical="center" wrapText="1"/>
    </xf>
    <xf numFmtId="175" fontId="27" fillId="8" borderId="19" xfId="2" applyNumberFormat="1" applyFont="1" applyFill="1" applyBorder="1" applyAlignment="1">
      <alignment horizontal="center" vertical="center" wrapText="1"/>
    </xf>
    <xf numFmtId="3" fontId="27" fillId="22" borderId="49" xfId="2" applyNumberFormat="1" applyFont="1" applyFill="1" applyBorder="1" applyAlignment="1">
      <alignment horizontal="center" vertical="center" wrapText="1"/>
    </xf>
    <xf numFmtId="3" fontId="27" fillId="22" borderId="27" xfId="2" applyNumberFormat="1" applyFont="1" applyFill="1" applyBorder="1" applyAlignment="1">
      <alignment horizontal="center" vertical="center" wrapText="1"/>
    </xf>
    <xf numFmtId="3" fontId="27" fillId="22" borderId="28" xfId="2" applyNumberFormat="1" applyFont="1" applyFill="1" applyBorder="1" applyAlignment="1">
      <alignment horizontal="center" vertical="center" wrapText="1"/>
    </xf>
    <xf numFmtId="173" fontId="27" fillId="8" borderId="11" xfId="2" applyNumberFormat="1" applyFont="1" applyFill="1" applyBorder="1" applyAlignment="1">
      <alignment horizontal="center" vertical="center" wrapText="1"/>
    </xf>
    <xf numFmtId="173" fontId="27" fillId="8" borderId="13" xfId="2" applyNumberFormat="1" applyFont="1" applyFill="1" applyBorder="1" applyAlignment="1">
      <alignment horizontal="center" vertical="center" wrapText="1"/>
    </xf>
    <xf numFmtId="173" fontId="14" fillId="8" borderId="13" xfId="2" applyNumberFormat="1" applyFont="1" applyFill="1" applyBorder="1" applyAlignment="1">
      <alignment horizontal="center" vertical="center" wrapText="1"/>
    </xf>
    <xf numFmtId="173" fontId="27" fillId="8" borderId="14" xfId="2" applyNumberFormat="1" applyFont="1" applyFill="1" applyBorder="1" applyAlignment="1">
      <alignment horizontal="center" vertical="center" wrapText="1"/>
    </xf>
    <xf numFmtId="0" fontId="0" fillId="8" borderId="94" xfId="0" applyFill="1" applyBorder="1"/>
    <xf numFmtId="170" fontId="0" fillId="8" borderId="94" xfId="7" applyNumberFormat="1" applyFont="1" applyFill="1" applyBorder="1"/>
    <xf numFmtId="43" fontId="0" fillId="8" borderId="12" xfId="0" applyNumberFormat="1" applyFill="1" applyBorder="1"/>
    <xf numFmtId="0" fontId="0" fillId="8" borderId="13" xfId="0" applyFill="1" applyBorder="1"/>
    <xf numFmtId="0" fontId="0" fillId="8" borderId="18" xfId="0" applyFill="1" applyBorder="1" applyAlignment="1">
      <alignment horizontal="center"/>
    </xf>
    <xf numFmtId="167" fontId="0" fillId="8" borderId="18" xfId="2" applyNumberFormat="1" applyFont="1" applyFill="1" applyBorder="1"/>
    <xf numFmtId="0" fontId="0" fillId="8" borderId="14" xfId="0" applyFill="1" applyBorder="1"/>
    <xf numFmtId="0" fontId="0" fillId="8" borderId="15" xfId="0" applyFill="1" applyBorder="1"/>
    <xf numFmtId="170" fontId="0" fillId="8" borderId="15" xfId="7" applyNumberFormat="1" applyFont="1" applyFill="1" applyBorder="1"/>
    <xf numFmtId="167" fontId="0" fillId="8" borderId="19" xfId="2" applyNumberFormat="1" applyFont="1" applyFill="1" applyBorder="1"/>
    <xf numFmtId="0" fontId="0" fillId="8" borderId="50" xfId="0" applyFill="1" applyBorder="1"/>
    <xf numFmtId="0" fontId="0" fillId="8" borderId="51" xfId="0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165" fontId="0" fillId="8" borderId="19" xfId="0" applyNumberFormat="1" applyFill="1" applyBorder="1"/>
    <xf numFmtId="2" fontId="0" fillId="0" borderId="10" xfId="0" applyNumberFormat="1" applyBorder="1"/>
    <xf numFmtId="3" fontId="7" fillId="8" borderId="10" xfId="2" applyNumberFormat="1" applyFont="1" applyFill="1" applyBorder="1" applyAlignment="1">
      <alignment horizontal="right" vertical="center" wrapText="1"/>
    </xf>
    <xf numFmtId="3" fontId="7" fillId="8" borderId="15" xfId="2" applyNumberFormat="1" applyFont="1" applyFill="1" applyBorder="1" applyAlignment="1">
      <alignment horizontal="right" vertical="center" wrapText="1"/>
    </xf>
    <xf numFmtId="167" fontId="0" fillId="8" borderId="71" xfId="2" applyNumberFormat="1" applyFont="1" applyFill="1" applyBorder="1"/>
    <xf numFmtId="0" fontId="0" fillId="8" borderId="76" xfId="0" applyFill="1" applyBorder="1"/>
    <xf numFmtId="167" fontId="0" fillId="0" borderId="19" xfId="2" applyNumberFormat="1" applyFont="1" applyBorder="1"/>
    <xf numFmtId="167" fontId="0" fillId="8" borderId="17" xfId="2" applyNumberFormat="1" applyFont="1" applyFill="1" applyBorder="1"/>
    <xf numFmtId="170" fontId="0" fillId="0" borderId="15" xfId="0" applyNumberFormat="1" applyBorder="1"/>
    <xf numFmtId="165" fontId="0" fillId="8" borderId="71" xfId="0" applyNumberFormat="1" applyFill="1" applyBorder="1"/>
    <xf numFmtId="170" fontId="0" fillId="8" borderId="10" xfId="0" applyNumberFormat="1" applyFill="1" applyBorder="1"/>
    <xf numFmtId="165" fontId="18" fillId="0" borderId="0" xfId="13" applyFont="1" applyAlignment="1">
      <alignment horizontal="center" vertical="center" wrapText="1"/>
    </xf>
    <xf numFmtId="165" fontId="26" fillId="36" borderId="0" xfId="13" applyFont="1" applyFill="1" applyAlignment="1">
      <alignment horizontal="center" vertical="center" wrapText="1"/>
    </xf>
    <xf numFmtId="165" fontId="25" fillId="35" borderId="0" xfId="13" applyFont="1" applyFill="1" applyAlignment="1">
      <alignment horizontal="center" vertical="center" wrapText="1"/>
    </xf>
    <xf numFmtId="2" fontId="0" fillId="8" borderId="18" xfId="2" applyNumberFormat="1" applyFont="1" applyFill="1" applyBorder="1"/>
    <xf numFmtId="171" fontId="0" fillId="8" borderId="12" xfId="0" applyNumberFormat="1" applyFill="1" applyBorder="1"/>
    <xf numFmtId="176" fontId="0" fillId="8" borderId="12" xfId="0" applyNumberFormat="1" applyFill="1" applyBorder="1"/>
    <xf numFmtId="177" fontId="0" fillId="8" borderId="18" xfId="2" applyNumberFormat="1" applyFont="1" applyFill="1" applyBorder="1"/>
    <xf numFmtId="178" fontId="0" fillId="8" borderId="18" xfId="2" applyNumberFormat="1" applyFont="1" applyFill="1" applyBorder="1"/>
    <xf numFmtId="3" fontId="11" fillId="6" borderId="22" xfId="0" applyNumberFormat="1" applyFont="1" applyFill="1" applyBorder="1" applyAlignment="1">
      <alignment horizontal="center"/>
    </xf>
    <xf numFmtId="3" fontId="11" fillId="6" borderId="72" xfId="0" applyNumberFormat="1" applyFont="1" applyFill="1" applyBorder="1" applyAlignment="1">
      <alignment horizontal="center"/>
    </xf>
    <xf numFmtId="3" fontId="11" fillId="6" borderId="17" xfId="0" applyNumberFormat="1" applyFont="1" applyFill="1" applyBorder="1"/>
    <xf numFmtId="3" fontId="11" fillId="6" borderId="23" xfId="0" applyNumberFormat="1" applyFont="1" applyFill="1" applyBorder="1" applyAlignment="1">
      <alignment horizontal="center"/>
    </xf>
    <xf numFmtId="3" fontId="11" fillId="6" borderId="31" xfId="0" applyNumberFormat="1" applyFont="1" applyFill="1" applyBorder="1" applyAlignment="1">
      <alignment horizontal="center"/>
    </xf>
    <xf numFmtId="3" fontId="11" fillId="6" borderId="18" xfId="0" applyNumberFormat="1" applyFont="1" applyFill="1" applyBorder="1"/>
    <xf numFmtId="3" fontId="11" fillId="6" borderId="24" xfId="0" applyNumberFormat="1" applyFont="1" applyFill="1" applyBorder="1" applyAlignment="1">
      <alignment horizontal="center"/>
    </xf>
    <xf numFmtId="3" fontId="11" fillId="6" borderId="35" xfId="0" applyNumberFormat="1" applyFont="1" applyFill="1" applyBorder="1" applyAlignment="1">
      <alignment horizontal="center"/>
    </xf>
    <xf numFmtId="3" fontId="11" fillId="6" borderId="19" xfId="0" applyNumberFormat="1" applyFont="1" applyFill="1" applyBorder="1"/>
    <xf numFmtId="3" fontId="11" fillId="14" borderId="72" xfId="0" applyNumberFormat="1" applyFont="1" applyFill="1" applyBorder="1" applyAlignment="1">
      <alignment horizontal="center"/>
    </xf>
    <xf numFmtId="3" fontId="11" fillId="29" borderId="35" xfId="0" applyNumberFormat="1" applyFont="1" applyFill="1" applyBorder="1" applyAlignment="1">
      <alignment horizontal="center"/>
    </xf>
    <xf numFmtId="3" fontId="11" fillId="14" borderId="23" xfId="0" applyNumberFormat="1" applyFont="1" applyFill="1" applyBorder="1" applyAlignment="1">
      <alignment horizontal="center"/>
    </xf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0" xfId="0" applyNumberFormat="1" applyFont="1" applyFill="1" applyBorder="1"/>
    <xf numFmtId="3" fontId="11" fillId="6" borderId="15" xfId="0" applyNumberFormat="1" applyFont="1" applyFill="1" applyBorder="1"/>
    <xf numFmtId="3" fontId="11" fillId="6" borderId="13" xfId="0" applyNumberFormat="1" applyFont="1" applyFill="1" applyBorder="1"/>
    <xf numFmtId="165" fontId="11" fillId="6" borderId="11" xfId="0" applyNumberFormat="1" applyFont="1" applyFill="1" applyBorder="1"/>
    <xf numFmtId="165" fontId="11" fillId="6" borderId="12" xfId="0" applyNumberFormat="1" applyFont="1" applyFill="1" applyBorder="1"/>
    <xf numFmtId="165" fontId="11" fillId="6" borderId="17" xfId="0" applyNumberFormat="1" applyFont="1" applyFill="1" applyBorder="1"/>
    <xf numFmtId="165" fontId="11" fillId="6" borderId="13" xfId="0" applyNumberFormat="1" applyFont="1" applyFill="1" applyBorder="1"/>
    <xf numFmtId="165" fontId="11" fillId="6" borderId="10" xfId="0" applyNumberFormat="1" applyFont="1" applyFill="1" applyBorder="1"/>
    <xf numFmtId="165" fontId="11" fillId="6" borderId="18" xfId="0" applyNumberFormat="1" applyFont="1" applyFill="1" applyBorder="1"/>
    <xf numFmtId="165" fontId="11" fillId="6" borderId="15" xfId="0" applyNumberFormat="1" applyFont="1" applyFill="1" applyBorder="1"/>
    <xf numFmtId="165" fontId="11" fillId="6" borderId="19" xfId="0" applyNumberFormat="1" applyFont="1" applyFill="1" applyBorder="1"/>
    <xf numFmtId="165" fontId="11" fillId="0" borderId="106" xfId="0" applyNumberFormat="1" applyFont="1" applyBorder="1"/>
    <xf numFmtId="0" fontId="0" fillId="0" borderId="0" xfId="0" applyAlignment="1">
      <alignment horizontal="left"/>
    </xf>
    <xf numFmtId="14" fontId="0" fillId="0" borderId="31" xfId="0" applyNumberFormat="1" applyBorder="1" applyAlignment="1">
      <alignment horizontal="left"/>
    </xf>
    <xf numFmtId="3" fontId="11" fillId="0" borderId="18" xfId="0" applyNumberFormat="1" applyFont="1" applyBorder="1" applyAlignment="1">
      <alignment horizontal="center"/>
    </xf>
    <xf numFmtId="3" fontId="11" fillId="0" borderId="61" xfId="0" applyNumberFormat="1" applyFont="1" applyBorder="1"/>
    <xf numFmtId="3" fontId="11" fillId="0" borderId="50" xfId="0" applyNumberFormat="1" applyFont="1" applyBorder="1"/>
    <xf numFmtId="3" fontId="11" fillId="0" borderId="65" xfId="0" applyNumberFormat="1" applyFont="1" applyBorder="1"/>
    <xf numFmtId="3" fontId="11" fillId="0" borderId="51" xfId="0" applyNumberFormat="1" applyFont="1" applyBorder="1"/>
    <xf numFmtId="3" fontId="4" fillId="0" borderId="58" xfId="0" applyNumberFormat="1" applyFont="1" applyBorder="1" applyAlignment="1">
      <alignment horizontal="center" vertical="center" wrapText="1"/>
    </xf>
    <xf numFmtId="3" fontId="4" fillId="0" borderId="56" xfId="0" applyNumberFormat="1" applyFont="1" applyBorder="1" applyAlignment="1">
      <alignment horizontal="center" vertical="center" wrapText="1"/>
    </xf>
    <xf numFmtId="165" fontId="11" fillId="21" borderId="13" xfId="7" applyNumberFormat="1" applyFont="1" applyFill="1" applyBorder="1"/>
    <xf numFmtId="165" fontId="11" fillId="0" borderId="13" xfId="7" applyNumberFormat="1" applyFont="1" applyBorder="1"/>
    <xf numFmtId="3" fontId="11" fillId="6" borderId="11" xfId="0" applyNumberFormat="1" applyFont="1" applyFill="1" applyBorder="1" applyAlignment="1">
      <alignment horizontal="right"/>
    </xf>
    <xf numFmtId="3" fontId="11" fillId="6" borderId="12" xfId="0" applyNumberFormat="1" applyFont="1" applyFill="1" applyBorder="1" applyAlignment="1">
      <alignment horizontal="right"/>
    </xf>
    <xf numFmtId="3" fontId="11" fillId="6" borderId="13" xfId="0" applyNumberFormat="1" applyFont="1" applyFill="1" applyBorder="1" applyAlignment="1">
      <alignment horizontal="right"/>
    </xf>
    <xf numFmtId="3" fontId="11" fillId="6" borderId="10" xfId="0" applyNumberFormat="1" applyFont="1" applyFill="1" applyBorder="1" applyAlignment="1">
      <alignment horizontal="right"/>
    </xf>
    <xf numFmtId="3" fontId="11" fillId="6" borderId="14" xfId="0" applyNumberFormat="1" applyFont="1" applyFill="1" applyBorder="1" applyAlignment="1">
      <alignment horizontal="right"/>
    </xf>
    <xf numFmtId="3" fontId="11" fillId="6" borderId="78" xfId="0" applyNumberFormat="1" applyFont="1" applyFill="1" applyBorder="1" applyAlignment="1">
      <alignment horizontal="center" vertical="center"/>
    </xf>
    <xf numFmtId="3" fontId="11" fillId="6" borderId="88" xfId="0" applyNumberFormat="1" applyFont="1" applyFill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left"/>
    </xf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0" fontId="0" fillId="0" borderId="96" xfId="0" applyBorder="1" applyAlignment="1">
      <alignment horizontal="center"/>
    </xf>
    <xf numFmtId="3" fontId="11" fillId="3" borderId="35" xfId="0" applyNumberFormat="1" applyFont="1" applyFill="1" applyBorder="1" applyAlignment="1">
      <alignment horizontal="center"/>
    </xf>
    <xf numFmtId="1" fontId="0" fillId="0" borderId="10" xfId="0" applyNumberFormat="1" applyBorder="1"/>
    <xf numFmtId="0" fontId="0" fillId="0" borderId="96" xfId="0" applyBorder="1"/>
    <xf numFmtId="1" fontId="0" fillId="0" borderId="12" xfId="0" applyNumberFormat="1" applyBorder="1"/>
    <xf numFmtId="14" fontId="0" fillId="0" borderId="2" xfId="0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0" fillId="0" borderId="101" xfId="0" applyBorder="1"/>
    <xf numFmtId="1" fontId="0" fillId="0" borderId="2" xfId="0" applyNumberFormat="1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21" borderId="0" xfId="0" applyFill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21" borderId="10" xfId="0" applyFill="1" applyBorder="1" applyAlignment="1">
      <alignment horizontal="center"/>
    </xf>
    <xf numFmtId="42" fontId="0" fillId="0" borderId="10" xfId="2" applyNumberFormat="1" applyFont="1" applyBorder="1"/>
    <xf numFmtId="0" fontId="0" fillId="21" borderId="10" xfId="0" applyFill="1" applyBorder="1"/>
    <xf numFmtId="0" fontId="18" fillId="0" borderId="94" xfId="0" applyFont="1" applyBorder="1" applyAlignment="1">
      <alignment horizontal="center" vertical="center"/>
    </xf>
    <xf numFmtId="0" fontId="18" fillId="23" borderId="94" xfId="0" applyFont="1" applyFill="1" applyBorder="1" applyAlignment="1">
      <alignment horizontal="center" vertical="center" wrapText="1"/>
    </xf>
    <xf numFmtId="0" fontId="18" fillId="2" borderId="94" xfId="0" applyFont="1" applyFill="1" applyBorder="1" applyAlignment="1">
      <alignment horizontal="center" vertical="center" wrapText="1"/>
    </xf>
    <xf numFmtId="0" fontId="18" fillId="24" borderId="94" xfId="0" applyFont="1" applyFill="1" applyBorder="1" applyAlignment="1">
      <alignment horizontal="center" vertical="center" wrapText="1"/>
    </xf>
    <xf numFmtId="0" fontId="18" fillId="20" borderId="94" xfId="0" applyFont="1" applyFill="1" applyBorder="1" applyAlignment="1">
      <alignment horizontal="center" vertical="center" wrapText="1"/>
    </xf>
    <xf numFmtId="0" fontId="18" fillId="7" borderId="94" xfId="0" applyFont="1" applyFill="1" applyBorder="1" applyAlignment="1">
      <alignment horizontal="center" vertical="center" wrapText="1"/>
    </xf>
    <xf numFmtId="0" fontId="18" fillId="21" borderId="94" xfId="0" applyFont="1" applyFill="1" applyBorder="1" applyAlignment="1">
      <alignment horizontal="center" vertical="center" wrapText="1"/>
    </xf>
    <xf numFmtId="0" fontId="18" fillId="5" borderId="94" xfId="0" applyFont="1" applyFill="1" applyBorder="1" applyAlignment="1">
      <alignment horizontal="center" vertical="center" wrapText="1"/>
    </xf>
    <xf numFmtId="0" fontId="18" fillId="28" borderId="94" xfId="0" applyFont="1" applyFill="1" applyBorder="1" applyAlignment="1">
      <alignment horizontal="center" vertical="center" wrapText="1"/>
    </xf>
    <xf numFmtId="49" fontId="18" fillId="25" borderId="94" xfId="0" applyNumberFormat="1" applyFont="1" applyFill="1" applyBorder="1" applyAlignment="1">
      <alignment horizontal="center" vertical="center" wrapText="1"/>
    </xf>
    <xf numFmtId="0" fontId="18" fillId="4" borderId="94" xfId="0" applyFont="1" applyFill="1" applyBorder="1" applyAlignment="1">
      <alignment horizontal="center" vertical="center" wrapText="1"/>
    </xf>
    <xf numFmtId="14" fontId="0" fillId="0" borderId="11" xfId="0" applyNumberFormat="1" applyBorder="1" applyAlignment="1">
      <alignment horizontal="left"/>
    </xf>
    <xf numFmtId="1" fontId="0" fillId="0" borderId="12" xfId="0" applyNumberFormat="1" applyBorder="1" applyAlignment="1">
      <alignment horizontal="left"/>
    </xf>
    <xf numFmtId="0" fontId="0" fillId="18" borderId="12" xfId="0" applyFill="1" applyBorder="1"/>
    <xf numFmtId="2" fontId="0" fillId="0" borderId="12" xfId="0" applyNumberFormat="1" applyBorder="1" applyAlignment="1">
      <alignment horizontal="center"/>
    </xf>
    <xf numFmtId="0" fontId="0" fillId="21" borderId="12" xfId="0" applyFill="1" applyBorder="1" applyAlignment="1">
      <alignment horizontal="center"/>
    </xf>
    <xf numFmtId="42" fontId="0" fillId="0" borderId="12" xfId="2" applyNumberFormat="1" applyFont="1" applyBorder="1"/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1" fontId="0" fillId="0" borderId="15" xfId="0" applyNumberFormat="1" applyBorder="1" applyAlignment="1">
      <alignment horizontal="left"/>
    </xf>
    <xf numFmtId="0" fontId="0" fillId="7" borderId="15" xfId="0" applyFill="1" applyBorder="1"/>
    <xf numFmtId="2" fontId="0" fillId="0" borderId="15" xfId="0" applyNumberFormat="1" applyBorder="1" applyAlignment="1">
      <alignment horizontal="center"/>
    </xf>
    <xf numFmtId="0" fontId="0" fillId="21" borderId="15" xfId="0" applyFill="1" applyBorder="1" applyAlignment="1">
      <alignment horizontal="center"/>
    </xf>
    <xf numFmtId="1" fontId="0" fillId="0" borderId="15" xfId="0" applyNumberFormat="1" applyBorder="1"/>
    <xf numFmtId="42" fontId="0" fillId="0" borderId="15" xfId="2" applyNumberFormat="1" applyFont="1" applyBorder="1"/>
    <xf numFmtId="42" fontId="0" fillId="0" borderId="75" xfId="2" applyNumberFormat="1" applyFont="1" applyBorder="1"/>
    <xf numFmtId="42" fontId="0" fillId="0" borderId="26" xfId="2" applyNumberFormat="1" applyFont="1" applyBorder="1"/>
    <xf numFmtId="42" fontId="0" fillId="0" borderId="54" xfId="2" applyNumberFormat="1" applyFont="1" applyBorder="1"/>
    <xf numFmtId="42" fontId="0" fillId="0" borderId="22" xfId="2" applyNumberFormat="1" applyFont="1" applyBorder="1"/>
    <xf numFmtId="42" fontId="0" fillId="0" borderId="23" xfId="2" applyNumberFormat="1" applyFont="1" applyBorder="1"/>
    <xf numFmtId="42" fontId="0" fillId="0" borderId="24" xfId="2" applyNumberFormat="1" applyFont="1" applyBorder="1"/>
    <xf numFmtId="2" fontId="0" fillId="29" borderId="12" xfId="0" applyNumberFormat="1" applyFill="1" applyBorder="1" applyAlignment="1">
      <alignment horizontal="center"/>
    </xf>
    <xf numFmtId="3" fontId="11" fillId="29" borderId="72" xfId="0" applyNumberFormat="1" applyFont="1" applyFill="1" applyBorder="1" applyAlignment="1">
      <alignment horizontal="center"/>
    </xf>
    <xf numFmtId="3" fontId="11" fillId="29" borderId="23" xfId="0" applyNumberFormat="1" applyFont="1" applyFill="1" applyBorder="1" applyAlignment="1">
      <alignment horizontal="center"/>
    </xf>
    <xf numFmtId="3" fontId="11" fillId="29" borderId="24" xfId="0" applyNumberFormat="1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15" borderId="22" xfId="0" applyFill="1" applyBorder="1"/>
    <xf numFmtId="42" fontId="0" fillId="0" borderId="10" xfId="0" applyNumberFormat="1" applyBorder="1"/>
    <xf numFmtId="0" fontId="0" fillId="8" borderId="6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/>
    <xf numFmtId="0" fontId="0" fillId="8" borderId="89" xfId="0" applyFill="1" applyBorder="1"/>
    <xf numFmtId="0" fontId="5" fillId="20" borderId="0" xfId="0" applyFont="1" applyFill="1" applyAlignment="1">
      <alignment horizontal="center"/>
    </xf>
    <xf numFmtId="0" fontId="19" fillId="27" borderId="1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22" borderId="0" xfId="0" applyFont="1" applyFill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165" fontId="26" fillId="40" borderId="11" xfId="13" applyFont="1" applyFill="1" applyBorder="1" applyAlignment="1">
      <alignment horizontal="center" vertical="center" wrapText="1"/>
    </xf>
    <xf numFmtId="165" fontId="26" fillId="40" borderId="13" xfId="13" applyFont="1" applyFill="1" applyBorder="1" applyAlignment="1">
      <alignment horizontal="center" vertical="center" wrapText="1"/>
    </xf>
    <xf numFmtId="165" fontId="26" fillId="40" borderId="14" xfId="13" applyFont="1" applyFill="1" applyBorder="1" applyAlignment="1">
      <alignment horizontal="center" vertical="center" wrapText="1"/>
    </xf>
    <xf numFmtId="165" fontId="26" fillId="41" borderId="17" xfId="13" applyFont="1" applyFill="1" applyBorder="1" applyAlignment="1">
      <alignment horizontal="center" vertical="center" wrapText="1"/>
    </xf>
    <xf numFmtId="165" fontId="26" fillId="41" borderId="18" xfId="13" applyFont="1" applyFill="1" applyBorder="1" applyAlignment="1">
      <alignment horizontal="center" vertical="center" wrapText="1"/>
    </xf>
    <xf numFmtId="165" fontId="26" fillId="41" borderId="19" xfId="13" applyFont="1" applyFill="1" applyBorder="1" applyAlignment="1">
      <alignment horizontal="center" vertical="center" wrapText="1"/>
    </xf>
    <xf numFmtId="165" fontId="25" fillId="35" borderId="84" xfId="13" applyFont="1" applyFill="1" applyBorder="1" applyAlignment="1">
      <alignment horizontal="center" vertical="center" wrapText="1"/>
    </xf>
    <xf numFmtId="165" fontId="25" fillId="35" borderId="65" xfId="13" applyFont="1" applyFill="1" applyBorder="1" applyAlignment="1">
      <alignment horizontal="center" vertical="center" wrapText="1"/>
    </xf>
    <xf numFmtId="165" fontId="25" fillId="35" borderId="105" xfId="13" applyFont="1" applyFill="1" applyBorder="1" applyAlignment="1">
      <alignment horizontal="center" vertical="center" wrapText="1"/>
    </xf>
    <xf numFmtId="165" fontId="25" fillId="35" borderId="66" xfId="13" applyFont="1" applyFill="1" applyBorder="1" applyAlignment="1">
      <alignment horizontal="center" vertical="center" wrapText="1"/>
    </xf>
    <xf numFmtId="165" fontId="26" fillId="41" borderId="12" xfId="13" applyFont="1" applyFill="1" applyBorder="1" applyAlignment="1">
      <alignment horizontal="center" vertical="center" wrapText="1"/>
    </xf>
    <xf numFmtId="165" fontId="26" fillId="41" borderId="10" xfId="13" applyFont="1" applyFill="1" applyBorder="1" applyAlignment="1">
      <alignment horizontal="center" vertical="center" wrapText="1"/>
    </xf>
    <xf numFmtId="165" fontId="26" fillId="41" borderId="15" xfId="13" applyFont="1" applyFill="1" applyBorder="1" applyAlignment="1">
      <alignment horizontal="center" vertical="center" wrapText="1"/>
    </xf>
    <xf numFmtId="49" fontId="26" fillId="36" borderId="65" xfId="2" applyNumberFormat="1" applyFont="1" applyFill="1" applyBorder="1" applyAlignment="1">
      <alignment horizontal="center" vertical="center" wrapText="1"/>
    </xf>
    <xf numFmtId="49" fontId="26" fillId="36" borderId="66" xfId="2" applyNumberFormat="1" applyFont="1" applyFill="1" applyBorder="1" applyAlignment="1">
      <alignment horizontal="center" vertical="center" wrapText="1"/>
    </xf>
    <xf numFmtId="165" fontId="26" fillId="37" borderId="78" xfId="13" applyFont="1" applyFill="1" applyBorder="1" applyAlignment="1">
      <alignment horizontal="center" vertical="center" wrapText="1"/>
    </xf>
    <xf numFmtId="165" fontId="26" fillId="37" borderId="88" xfId="13" applyFont="1" applyFill="1" applyBorder="1" applyAlignment="1">
      <alignment horizontal="center" vertical="center" wrapText="1"/>
    </xf>
    <xf numFmtId="165" fontId="26" fillId="37" borderId="30" xfId="13" applyFont="1" applyFill="1" applyBorder="1" applyAlignment="1">
      <alignment horizontal="center" vertical="center" wrapText="1"/>
    </xf>
    <xf numFmtId="165" fontId="26" fillId="36" borderId="17" xfId="13" applyFont="1" applyFill="1" applyBorder="1" applyAlignment="1">
      <alignment horizontal="center" vertical="center" wrapText="1"/>
    </xf>
    <xf numFmtId="165" fontId="26" fillId="36" borderId="55" xfId="13" applyFont="1" applyFill="1" applyBorder="1" applyAlignment="1">
      <alignment horizontal="center" vertical="center" wrapText="1"/>
    </xf>
    <xf numFmtId="165" fontId="26" fillId="36" borderId="19" xfId="13" applyFont="1" applyFill="1" applyBorder="1" applyAlignment="1">
      <alignment horizontal="center" vertical="center" wrapText="1"/>
    </xf>
    <xf numFmtId="165" fontId="25" fillId="6" borderId="71" xfId="13" applyFont="1" applyFill="1" applyBorder="1" applyAlignment="1">
      <alignment horizontal="center" vertical="center" wrapText="1"/>
    </xf>
    <xf numFmtId="165" fontId="25" fillId="6" borderId="25" xfId="13" applyFont="1" applyFill="1" applyBorder="1" applyAlignment="1">
      <alignment horizontal="center" vertical="center" wrapText="1"/>
    </xf>
    <xf numFmtId="49" fontId="26" fillId="36" borderId="101" xfId="2" applyNumberFormat="1" applyFont="1" applyFill="1" applyBorder="1" applyAlignment="1">
      <alignment horizontal="center" vertical="center" wrapText="1"/>
    </xf>
    <xf numFmtId="49" fontId="26" fillId="36" borderId="96" xfId="2" applyNumberFormat="1" applyFont="1" applyFill="1" applyBorder="1" applyAlignment="1">
      <alignment horizontal="center" vertical="center" wrapText="1"/>
    </xf>
    <xf numFmtId="41" fontId="25" fillId="8" borderId="50" xfId="12" applyFont="1" applyFill="1" applyBorder="1" applyAlignment="1">
      <alignment horizontal="center" vertical="center" wrapText="1"/>
    </xf>
    <xf numFmtId="41" fontId="25" fillId="8" borderId="13" xfId="12" applyFont="1" applyFill="1" applyBorder="1" applyAlignment="1">
      <alignment horizontal="center" vertical="center" wrapText="1"/>
    </xf>
    <xf numFmtId="41" fontId="25" fillId="8" borderId="14" xfId="12" applyFont="1" applyFill="1" applyBorder="1" applyAlignment="1">
      <alignment horizontal="center" vertical="center" wrapText="1"/>
    </xf>
    <xf numFmtId="41" fontId="25" fillId="39" borderId="54" xfId="12" applyFont="1" applyFill="1" applyBorder="1" applyAlignment="1">
      <alignment horizontal="center" vertical="center" wrapText="1"/>
    </xf>
    <xf numFmtId="41" fontId="25" fillId="39" borderId="35" xfId="12" applyFont="1" applyFill="1" applyBorder="1" applyAlignment="1">
      <alignment horizontal="center" vertical="center" wrapText="1"/>
    </xf>
    <xf numFmtId="41" fontId="25" fillId="39" borderId="30" xfId="12" applyFont="1" applyFill="1" applyBorder="1" applyAlignment="1">
      <alignment horizontal="center" vertical="center" wrapText="1"/>
    </xf>
    <xf numFmtId="167" fontId="18" fillId="0" borderId="6" xfId="2" applyNumberFormat="1" applyFont="1" applyFill="1" applyBorder="1" applyAlignment="1">
      <alignment horizontal="center" vertical="center" wrapText="1"/>
    </xf>
    <xf numFmtId="167" fontId="18" fillId="0" borderId="1" xfId="2" applyNumberFormat="1" applyFont="1" applyFill="1" applyBorder="1" applyAlignment="1">
      <alignment horizontal="center" vertical="center" wrapText="1"/>
    </xf>
    <xf numFmtId="167" fontId="18" fillId="0" borderId="7" xfId="2" applyNumberFormat="1" applyFont="1" applyFill="1" applyBorder="1" applyAlignment="1">
      <alignment horizontal="center" vertical="center" wrapText="1"/>
    </xf>
    <xf numFmtId="165" fontId="25" fillId="6" borderId="61" xfId="13" applyFont="1" applyFill="1" applyBorder="1" applyAlignment="1">
      <alignment horizontal="center" vertical="center" wrapText="1"/>
    </xf>
    <xf numFmtId="165" fontId="25" fillId="6" borderId="100" xfId="13" applyFont="1" applyFill="1" applyBorder="1" applyAlignment="1">
      <alignment horizontal="center" vertical="center" wrapText="1"/>
    </xf>
    <xf numFmtId="165" fontId="25" fillId="6" borderId="60" xfId="13" applyFont="1" applyFill="1" applyBorder="1" applyAlignment="1">
      <alignment horizontal="center" vertical="center" wrapText="1"/>
    </xf>
    <xf numFmtId="165" fontId="25" fillId="6" borderId="65" xfId="13" applyFont="1" applyFill="1" applyBorder="1" applyAlignment="1">
      <alignment horizontal="center" vertical="center" wrapText="1"/>
    </xf>
    <xf numFmtId="165" fontId="25" fillId="6" borderId="101" xfId="13" applyFont="1" applyFill="1" applyBorder="1" applyAlignment="1">
      <alignment horizontal="center" vertical="center" wrapText="1"/>
    </xf>
    <xf numFmtId="165" fontId="25" fillId="6" borderId="77" xfId="13" applyFont="1" applyFill="1" applyBorder="1" applyAlignment="1">
      <alignment horizontal="center" vertical="center" wrapText="1"/>
    </xf>
    <xf numFmtId="165" fontId="26" fillId="37" borderId="22" xfId="13" applyFont="1" applyFill="1" applyBorder="1" applyAlignment="1">
      <alignment horizontal="center" vertical="center" wrapText="1"/>
    </xf>
    <xf numFmtId="165" fontId="26" fillId="37" borderId="24" xfId="13" applyFont="1" applyFill="1" applyBorder="1" applyAlignment="1">
      <alignment horizontal="center" vertical="center" wrapText="1"/>
    </xf>
    <xf numFmtId="165" fontId="26" fillId="36" borderId="53" xfId="13" applyFont="1" applyFill="1" applyBorder="1" applyAlignment="1">
      <alignment horizontal="center" vertical="center" wrapText="1"/>
    </xf>
    <xf numFmtId="165" fontId="26" fillId="36" borderId="63" xfId="13" applyFont="1" applyFill="1" applyBorder="1" applyAlignment="1">
      <alignment horizontal="center" vertical="center" wrapText="1"/>
    </xf>
    <xf numFmtId="165" fontId="26" fillId="36" borderId="21" xfId="13" applyFont="1" applyFill="1" applyBorder="1" applyAlignment="1">
      <alignment horizontal="center" vertical="center" wrapText="1"/>
    </xf>
    <xf numFmtId="41" fontId="25" fillId="8" borderId="29" xfId="12" applyFont="1" applyFill="1" applyBorder="1" applyAlignment="1">
      <alignment horizontal="center" vertical="center" wrapText="1"/>
    </xf>
    <xf numFmtId="41" fontId="25" fillId="8" borderId="27" xfId="12" applyFont="1" applyFill="1" applyBorder="1" applyAlignment="1">
      <alignment horizontal="center" vertical="center" wrapText="1"/>
    </xf>
    <xf numFmtId="41" fontId="25" fillId="39" borderId="59" xfId="12" applyFont="1" applyFill="1" applyBorder="1" applyAlignment="1">
      <alignment horizontal="center" vertical="center" wrapText="1"/>
    </xf>
    <xf numFmtId="41" fontId="25" fillId="39" borderId="5" xfId="12" applyFont="1" applyFill="1" applyBorder="1" applyAlignment="1">
      <alignment horizontal="center" vertical="center" wrapText="1"/>
    </xf>
    <xf numFmtId="41" fontId="25" fillId="39" borderId="16" xfId="12" applyFont="1" applyFill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86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165" fontId="25" fillId="6" borderId="52" xfId="13" applyFont="1" applyFill="1" applyBorder="1" applyAlignment="1">
      <alignment horizontal="center" vertical="center" wrapText="1"/>
    </xf>
    <xf numFmtId="165" fontId="25" fillId="6" borderId="4" xfId="13" applyFont="1" applyFill="1" applyBorder="1" applyAlignment="1">
      <alignment horizontal="center" vertical="center" wrapText="1"/>
    </xf>
    <xf numFmtId="165" fontId="25" fillId="6" borderId="48" xfId="13" applyFont="1" applyFill="1" applyBorder="1" applyAlignment="1">
      <alignment horizontal="center" vertical="center" wrapText="1"/>
    </xf>
    <xf numFmtId="165" fontId="25" fillId="35" borderId="4" xfId="13" applyFont="1" applyFill="1" applyBorder="1" applyAlignment="1">
      <alignment horizontal="center" vertical="center" wrapText="1"/>
    </xf>
    <xf numFmtId="165" fontId="25" fillId="35" borderId="1" xfId="13" applyFont="1" applyFill="1" applyBorder="1" applyAlignment="1">
      <alignment horizontal="center" vertical="center" wrapText="1"/>
    </xf>
    <xf numFmtId="165" fontId="25" fillId="35" borderId="7" xfId="13" applyFont="1" applyFill="1" applyBorder="1" applyAlignment="1">
      <alignment horizontal="center" vertical="center" wrapText="1"/>
    </xf>
    <xf numFmtId="165" fontId="25" fillId="6" borderId="83" xfId="13" applyFont="1" applyFill="1" applyBorder="1" applyAlignment="1">
      <alignment horizontal="center" vertical="center" wrapText="1"/>
    </xf>
    <xf numFmtId="165" fontId="25" fillId="6" borderId="84" xfId="13" applyFont="1" applyFill="1" applyBorder="1" applyAlignment="1">
      <alignment horizontal="center" vertical="center" wrapText="1"/>
    </xf>
    <xf numFmtId="165" fontId="25" fillId="6" borderId="85" xfId="13" applyFont="1" applyFill="1" applyBorder="1" applyAlignment="1">
      <alignment horizontal="center" vertical="center" wrapText="1"/>
    </xf>
    <xf numFmtId="165" fontId="26" fillId="37" borderId="29" xfId="13" applyFont="1" applyFill="1" applyBorder="1" applyAlignment="1">
      <alignment horizontal="center" vertical="center" wrapText="1"/>
    </xf>
    <xf numFmtId="165" fontId="26" fillId="37" borderId="28" xfId="13" applyFont="1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6" fillId="8" borderId="83" xfId="0" applyFont="1" applyFill="1" applyBorder="1" applyAlignment="1">
      <alignment horizontal="center"/>
    </xf>
    <xf numFmtId="0" fontId="16" fillId="8" borderId="84" xfId="0" applyFont="1" applyFill="1" applyBorder="1" applyAlignment="1">
      <alignment horizontal="center"/>
    </xf>
    <xf numFmtId="0" fontId="16" fillId="8" borderId="85" xfId="0" applyFont="1" applyFill="1" applyBorder="1" applyAlignment="1">
      <alignment horizontal="center"/>
    </xf>
    <xf numFmtId="0" fontId="16" fillId="8" borderId="49" xfId="0" applyFont="1" applyFill="1" applyBorder="1" applyAlignment="1">
      <alignment horizontal="center"/>
    </xf>
    <xf numFmtId="0" fontId="16" fillId="8" borderId="72" xfId="0" applyFont="1" applyFill="1" applyBorder="1" applyAlignment="1">
      <alignment horizontal="center"/>
    </xf>
    <xf numFmtId="0" fontId="16" fillId="8" borderId="78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0" fillId="8" borderId="27" xfId="0" applyFill="1" applyBorder="1" applyAlignment="1">
      <alignment horizontal="left"/>
    </xf>
    <xf numFmtId="0" fontId="0" fillId="8" borderId="31" xfId="0" applyFill="1" applyBorder="1" applyAlignment="1">
      <alignment horizontal="left"/>
    </xf>
    <xf numFmtId="0" fontId="0" fillId="8" borderId="20" xfId="0" applyFill="1" applyBorder="1" applyAlignment="1">
      <alignment horizontal="left"/>
    </xf>
    <xf numFmtId="170" fontId="0" fillId="0" borderId="54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" fillId="32" borderId="11" xfId="0" applyFont="1" applyFill="1" applyBorder="1" applyAlignment="1">
      <alignment horizontal="center"/>
    </xf>
    <xf numFmtId="0" fontId="1" fillId="32" borderId="12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3" borderId="50" xfId="0" applyFont="1" applyFill="1" applyBorder="1" applyAlignment="1">
      <alignment horizontal="center"/>
    </xf>
    <xf numFmtId="0" fontId="1" fillId="33" borderId="51" xfId="0" applyFont="1" applyFill="1" applyBorder="1" applyAlignment="1">
      <alignment horizontal="center"/>
    </xf>
    <xf numFmtId="0" fontId="1" fillId="33" borderId="5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4" borderId="11" xfId="0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1" fillId="24" borderId="17" xfId="0" applyFont="1" applyFill="1" applyBorder="1" applyAlignment="1">
      <alignment horizontal="center"/>
    </xf>
    <xf numFmtId="0" fontId="16" fillId="8" borderId="5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6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95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</cellXfs>
  <cellStyles count="15">
    <cellStyle name="Millares" xfId="7" builtinId="3"/>
    <cellStyle name="Millares [0]" xfId="12" builtinId="6"/>
    <cellStyle name="Millares 2" xfId="5" xr:uid="{2C68F984-66DD-4E9A-9396-C2F9F3FE6657}"/>
    <cellStyle name="Millares 2 2" xfId="10" xr:uid="{DB988A2B-4A92-498C-BE14-51E89EE9BF62}"/>
    <cellStyle name="Moneda" xfId="2" builtinId="4"/>
    <cellStyle name="Moneda 2" xfId="6" xr:uid="{2D6706FF-A95C-4230-993C-F7065A8E9301}"/>
    <cellStyle name="Moneda 2 2" xfId="11" xr:uid="{2D74D855-6DE7-4368-B27B-579019CE8A1D}"/>
    <cellStyle name="Moneda 3" xfId="9" xr:uid="{98A09EB3-FD05-449B-8DB5-9AA8F81AD3D8}"/>
    <cellStyle name="Normal" xfId="0" builtinId="0"/>
    <cellStyle name="Normal 2" xfId="3" xr:uid="{9A1E587F-2BA3-4FF7-B696-67E326A2487C}"/>
    <cellStyle name="Normal 212" xfId="13" xr:uid="{AA2C203E-78C3-455C-86D2-76E3A9AF02F4}"/>
    <cellStyle name="Normal 3" xfId="4" xr:uid="{F3EA175A-61D6-4DB8-A9C2-FE2C6568079F}"/>
    <cellStyle name="Normal 460" xfId="14" xr:uid="{DCBFC16C-4414-42AF-B67D-43D86C0C0D72}"/>
    <cellStyle name="Porcentaje" xfId="8" builtinId="5"/>
    <cellStyle name="Porcentaje 2" xfId="1" xr:uid="{9BABFD08-0A55-4FCC-BE37-D74FD39BB202}"/>
  </cellStyles>
  <dxfs count="6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-&quot;$&quot;\ * #,##0_-;\-&quot;$&quot;\ * #,##0_-;_-&quot;$&quot;\ * &quot;-&quot;??_-;_-@_-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vertical="center" wrapText="1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numFmt numFmtId="34" formatCode="_-&quot;$&quot;\ * #,##0.00_-;\-&quot;$&quot;\ * #,##0.00_-;_-&quot;$&quot;\ * &quot;-&quot;??_-;_-@_-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alignment horizontal="center"/>
    </dxf>
    <dxf>
      <alignment wrapText="1"/>
    </dxf>
    <dxf>
      <alignment wrapText="1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166" formatCode="&quot;$&quot;\ #,##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color auto="1"/>
      </font>
      <numFmt numFmtId="165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9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fill>
        <patternFill patternType="none">
          <fgColor indexed="64"/>
          <bgColor indexed="65"/>
        </patternFill>
      </fill>
      <alignment horizontal="left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>
          <fgColor theme="8" tint="0.79998168889431442"/>
        </patternFill>
      </fill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alignment horizontal="center"/>
    </dxf>
    <dxf>
      <numFmt numFmtId="166" formatCode="&quot;$&quot;\ #,##0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A54C0F"/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</a:t>
            </a:r>
            <a:r>
              <a:rPr lang="es-CO" baseline="0"/>
              <a:t> m3 TRATAMIENTO GEM</a:t>
            </a:r>
            <a:endParaRPr lang="es-CO"/>
          </a:p>
        </c:rich>
      </c:tx>
      <c:layout>
        <c:manualLayout>
          <c:xMode val="edge"/>
          <c:yMode val="edge"/>
          <c:x val="0.45973851424596712"/>
          <c:y val="1.65668697564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533786782337137E-2"/>
          <c:y val="0.10434649438513563"/>
          <c:w val="0.87166013418517441"/>
          <c:h val="0.67968335624431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QUIMICA'!$AK$4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QUIMICA'!$AK$5:$AK$35</c:f>
              <c:numCache>
                <c:formatCode>#,##0</c:formatCode>
                <c:ptCount val="30"/>
                <c:pt idx="0">
                  <c:v>0</c:v>
                </c:pt>
                <c:pt idx="1">
                  <c:v>880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1040</c:v>
                </c:pt>
                <c:pt idx="6">
                  <c:v>1079</c:v>
                </c:pt>
                <c:pt idx="7">
                  <c:v>1200</c:v>
                </c:pt>
                <c:pt idx="8">
                  <c:v>1280</c:v>
                </c:pt>
                <c:pt idx="9">
                  <c:v>1520</c:v>
                </c:pt>
                <c:pt idx="10">
                  <c:v>1040</c:v>
                </c:pt>
                <c:pt idx="11">
                  <c:v>0</c:v>
                </c:pt>
                <c:pt idx="12">
                  <c:v>1360</c:v>
                </c:pt>
                <c:pt idx="13">
                  <c:v>1280</c:v>
                </c:pt>
                <c:pt idx="14">
                  <c:v>1200</c:v>
                </c:pt>
                <c:pt idx="15">
                  <c:v>1600</c:v>
                </c:pt>
                <c:pt idx="16">
                  <c:v>1440</c:v>
                </c:pt>
                <c:pt idx="17">
                  <c:v>1680</c:v>
                </c:pt>
                <c:pt idx="18">
                  <c:v>0</c:v>
                </c:pt>
                <c:pt idx="19">
                  <c:v>1600</c:v>
                </c:pt>
                <c:pt idx="20">
                  <c:v>1360</c:v>
                </c:pt>
                <c:pt idx="21">
                  <c:v>1520</c:v>
                </c:pt>
                <c:pt idx="22">
                  <c:v>1495</c:v>
                </c:pt>
                <c:pt idx="23">
                  <c:v>1360</c:v>
                </c:pt>
                <c:pt idx="24">
                  <c:v>1360</c:v>
                </c:pt>
                <c:pt idx="25">
                  <c:v>800</c:v>
                </c:pt>
                <c:pt idx="26">
                  <c:v>1520</c:v>
                </c:pt>
                <c:pt idx="27">
                  <c:v>1600</c:v>
                </c:pt>
                <c:pt idx="28">
                  <c:v>1680</c:v>
                </c:pt>
                <c:pt idx="2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QUIMICA'!$AL$4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QUIMICA'!$AJ$5:$AJ$35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QUIMICA'!$AL$5:$AL$35</c:f>
              <c:numCache>
                <c:formatCode>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QUIMICA'!$AM$4</c:f>
              <c:strCache>
                <c:ptCount val="1"/>
                <c:pt idx="0">
                  <c:v>  2025 $m3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QUIMICA'!$AJ$5:$AJ$35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QUIMICA'!$AM$5:$AM$35</c:f>
              <c:numCache>
                <c:formatCode>"$"\ #,##0</c:formatCode>
                <c:ptCount val="30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  <c:pt idx="4">
                  <c:v>3599</c:v>
                </c:pt>
                <c:pt idx="5">
                  <c:v>3599</c:v>
                </c:pt>
                <c:pt idx="6">
                  <c:v>3599</c:v>
                </c:pt>
                <c:pt idx="7">
                  <c:v>3599</c:v>
                </c:pt>
                <c:pt idx="8">
                  <c:v>3599</c:v>
                </c:pt>
                <c:pt idx="9">
                  <c:v>3599</c:v>
                </c:pt>
                <c:pt idx="10">
                  <c:v>3599</c:v>
                </c:pt>
                <c:pt idx="11">
                  <c:v>3599</c:v>
                </c:pt>
                <c:pt idx="12">
                  <c:v>3599</c:v>
                </c:pt>
                <c:pt idx="13">
                  <c:v>3599</c:v>
                </c:pt>
                <c:pt idx="14">
                  <c:v>3599</c:v>
                </c:pt>
                <c:pt idx="15">
                  <c:v>3599</c:v>
                </c:pt>
                <c:pt idx="16">
                  <c:v>3599</c:v>
                </c:pt>
                <c:pt idx="17">
                  <c:v>3599</c:v>
                </c:pt>
                <c:pt idx="18">
                  <c:v>3599</c:v>
                </c:pt>
                <c:pt idx="19">
                  <c:v>3599</c:v>
                </c:pt>
                <c:pt idx="20">
                  <c:v>3599</c:v>
                </c:pt>
                <c:pt idx="21">
                  <c:v>3599</c:v>
                </c:pt>
                <c:pt idx="22">
                  <c:v>3599</c:v>
                </c:pt>
                <c:pt idx="23">
                  <c:v>3599</c:v>
                </c:pt>
                <c:pt idx="24">
                  <c:v>3599</c:v>
                </c:pt>
                <c:pt idx="25">
                  <c:v>3599</c:v>
                </c:pt>
                <c:pt idx="26">
                  <c:v>3599</c:v>
                </c:pt>
                <c:pt idx="27">
                  <c:v>3599</c:v>
                </c:pt>
                <c:pt idx="28">
                  <c:v>3599</c:v>
                </c:pt>
                <c:pt idx="29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518224"/>
        <c:axId val="1054534544"/>
      </c:lineChart>
      <c:valAx>
        <c:axId val="531007184"/>
        <c:scaling>
          <c:orientation val="minMax"/>
          <c:max val="18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1007184"/>
        <c:crosses val="autoZero"/>
        <c:auto val="1"/>
        <c:lblAlgn val="ctr"/>
        <c:lblOffset val="100"/>
        <c:noMultiLvlLbl val="0"/>
      </c:catAx>
      <c:valAx>
        <c:axId val="1054534544"/>
        <c:scaling>
          <c:orientation val="minMax"/>
          <c:max val="1400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4518224"/>
        <c:crosses val="autoZero"/>
        <c:crossBetween val="between"/>
      </c:valAx>
      <c:catAx>
        <c:axId val="105451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5345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QUIMICA'!$AU$4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QUIMICA'!$AU$5:$AU$35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388.57399999999996</c:v>
                </c:pt>
                <c:pt idx="6">
                  <c:v>983.59799999999996</c:v>
                </c:pt>
                <c:pt idx="7">
                  <c:v>892.84300000000007</c:v>
                </c:pt>
                <c:pt idx="8">
                  <c:v>825.06600000000003</c:v>
                </c:pt>
                <c:pt idx="9">
                  <c:v>863.92000000000007</c:v>
                </c:pt>
                <c:pt idx="10">
                  <c:v>404.33300000000003</c:v>
                </c:pt>
                <c:pt idx="11">
                  <c:v>0</c:v>
                </c:pt>
                <c:pt idx="12">
                  <c:v>402.16300000000001</c:v>
                </c:pt>
                <c:pt idx="13">
                  <c:v>897.92100000000005</c:v>
                </c:pt>
                <c:pt idx="14">
                  <c:v>944.20700000000011</c:v>
                </c:pt>
                <c:pt idx="15">
                  <c:v>987.57600000000002</c:v>
                </c:pt>
                <c:pt idx="16">
                  <c:v>755.36500000000001</c:v>
                </c:pt>
                <c:pt idx="17">
                  <c:v>688.20900000000006</c:v>
                </c:pt>
                <c:pt idx="18">
                  <c:v>0</c:v>
                </c:pt>
                <c:pt idx="19">
                  <c:v>829.34699999999998</c:v>
                </c:pt>
                <c:pt idx="20">
                  <c:v>909.375</c:v>
                </c:pt>
                <c:pt idx="21">
                  <c:v>872.69399999999996</c:v>
                </c:pt>
                <c:pt idx="22">
                  <c:v>839.55500000000006</c:v>
                </c:pt>
                <c:pt idx="23">
                  <c:v>825.55399999999997</c:v>
                </c:pt>
                <c:pt idx="24">
                  <c:v>622.58199999999999</c:v>
                </c:pt>
                <c:pt idx="25">
                  <c:v>125.733</c:v>
                </c:pt>
                <c:pt idx="26">
                  <c:v>940.94499999999994</c:v>
                </c:pt>
                <c:pt idx="27">
                  <c:v>940.33199999999999</c:v>
                </c:pt>
                <c:pt idx="28">
                  <c:v>1045.816</c:v>
                </c:pt>
                <c:pt idx="29">
                  <c:v>709.06099999999992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QUIMICA'!$AV$5:$AV$35</c:f>
              <c:numCache>
                <c:formatCode>_-"$"\ * #,##0_-;\-"$"\ * #,##0_-;_-"$"\ * "-"??_-;_-@_-</c:formatCode>
                <c:ptCount val="3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QUIMICA'!$AW$4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QUIMICA'!$AT$5:$AT$35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QUIMICA'!$AW$5:$AW$35</c:f>
              <c:numCache>
                <c:formatCode>"$"\ 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105.00000000000003</c:v>
                </c:pt>
                <c:pt idx="6">
                  <c:v>105.00000000000001</c:v>
                </c:pt>
                <c:pt idx="7">
                  <c:v>105</c:v>
                </c:pt>
                <c:pt idx="8">
                  <c:v>104.99999999999999</c:v>
                </c:pt>
                <c:pt idx="9">
                  <c:v>104.99999999999999</c:v>
                </c:pt>
                <c:pt idx="10">
                  <c:v>105</c:v>
                </c:pt>
                <c:pt idx="11">
                  <c:v>0</c:v>
                </c:pt>
                <c:pt idx="12">
                  <c:v>105.00000000000001</c:v>
                </c:pt>
                <c:pt idx="13">
                  <c:v>105</c:v>
                </c:pt>
                <c:pt idx="14">
                  <c:v>104.99999999999999</c:v>
                </c:pt>
                <c:pt idx="15">
                  <c:v>105.00000000000001</c:v>
                </c:pt>
                <c:pt idx="16">
                  <c:v>105.00000000000001</c:v>
                </c:pt>
                <c:pt idx="17">
                  <c:v>105</c:v>
                </c:pt>
                <c:pt idx="18">
                  <c:v>0</c:v>
                </c:pt>
                <c:pt idx="19">
                  <c:v>105.00000000000001</c:v>
                </c:pt>
                <c:pt idx="20">
                  <c:v>105</c:v>
                </c:pt>
                <c:pt idx="21">
                  <c:v>105</c:v>
                </c:pt>
                <c:pt idx="22">
                  <c:v>104.99999999999999</c:v>
                </c:pt>
                <c:pt idx="23">
                  <c:v>105.00000000000001</c:v>
                </c:pt>
                <c:pt idx="24">
                  <c:v>105.00000000000003</c:v>
                </c:pt>
                <c:pt idx="25">
                  <c:v>105.00000000000001</c:v>
                </c:pt>
                <c:pt idx="26">
                  <c:v>105.00000000000001</c:v>
                </c:pt>
                <c:pt idx="27">
                  <c:v>105.00000000000001</c:v>
                </c:pt>
                <c:pt idx="28">
                  <c:v>105.00000000000001</c:v>
                </c:pt>
                <c:pt idx="29">
                  <c:v>105.00000000000001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QUIMICA!TablaDinámica9</c:name>
    <c:fmtId val="1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QUIMICA'!$AQ$4</c:f>
              <c:strCache>
                <c:ptCount val="1"/>
                <c:pt idx="0">
                  <c:v>VOLUMEN TRATADO GEM 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QUIMICA'!$AQ$5:$AQ$35</c:f>
              <c:numCache>
                <c:formatCode>#,##0</c:formatCode>
                <c:ptCount val="30"/>
                <c:pt idx="0">
                  <c:v>0</c:v>
                </c:pt>
                <c:pt idx="1">
                  <c:v>880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1040</c:v>
                </c:pt>
                <c:pt idx="6">
                  <c:v>1079</c:v>
                </c:pt>
                <c:pt idx="7">
                  <c:v>1200</c:v>
                </c:pt>
                <c:pt idx="8">
                  <c:v>1280</c:v>
                </c:pt>
                <c:pt idx="9">
                  <c:v>1520</c:v>
                </c:pt>
                <c:pt idx="10">
                  <c:v>1040</c:v>
                </c:pt>
                <c:pt idx="11">
                  <c:v>0</c:v>
                </c:pt>
                <c:pt idx="12">
                  <c:v>1360</c:v>
                </c:pt>
                <c:pt idx="13">
                  <c:v>1280</c:v>
                </c:pt>
                <c:pt idx="14">
                  <c:v>1200</c:v>
                </c:pt>
                <c:pt idx="15">
                  <c:v>1600</c:v>
                </c:pt>
                <c:pt idx="16">
                  <c:v>1440</c:v>
                </c:pt>
                <c:pt idx="17">
                  <c:v>1680</c:v>
                </c:pt>
                <c:pt idx="18">
                  <c:v>0</c:v>
                </c:pt>
                <c:pt idx="19">
                  <c:v>1600</c:v>
                </c:pt>
                <c:pt idx="20">
                  <c:v>1360</c:v>
                </c:pt>
                <c:pt idx="21">
                  <c:v>1520</c:v>
                </c:pt>
                <c:pt idx="22">
                  <c:v>1495</c:v>
                </c:pt>
                <c:pt idx="23">
                  <c:v>1360</c:v>
                </c:pt>
                <c:pt idx="24">
                  <c:v>1360</c:v>
                </c:pt>
                <c:pt idx="25">
                  <c:v>800</c:v>
                </c:pt>
                <c:pt idx="26">
                  <c:v>1520</c:v>
                </c:pt>
                <c:pt idx="27">
                  <c:v>1600</c:v>
                </c:pt>
                <c:pt idx="28">
                  <c:v>1680</c:v>
                </c:pt>
                <c:pt idx="29">
                  <c:v>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0-4F0A-9D85-8AC10DE0F6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axId val="1952853008"/>
        <c:axId val="1952852528"/>
      </c:barChart>
      <c:lineChart>
        <c:grouping val="standard"/>
        <c:varyColors val="0"/>
        <c:ser>
          <c:idx val="1"/>
          <c:order val="1"/>
          <c:tx>
            <c:strRef>
              <c:f>'DB QUIMICA'!$AR$4</c:f>
              <c:strCache>
                <c:ptCount val="1"/>
                <c:pt idx="0">
                  <c:v>HORAS DE OPERACIÓN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QUIMICA'!$AP$5:$AP$35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QUIMICA'!$AR$5:$AR$35</c:f>
              <c:numCache>
                <c:formatCode>#,##0</c:formatCode>
                <c:ptCount val="30"/>
                <c:pt idx="0">
                  <c:v>0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16</c:v>
                </c:pt>
                <c:pt idx="9">
                  <c:v>19</c:v>
                </c:pt>
                <c:pt idx="10">
                  <c:v>13</c:v>
                </c:pt>
                <c:pt idx="11">
                  <c:v>0</c:v>
                </c:pt>
                <c:pt idx="12">
                  <c:v>17</c:v>
                </c:pt>
                <c:pt idx="13">
                  <c:v>16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21</c:v>
                </c:pt>
                <c:pt idx="18">
                  <c:v>0</c:v>
                </c:pt>
                <c:pt idx="19">
                  <c:v>20</c:v>
                </c:pt>
                <c:pt idx="20">
                  <c:v>17</c:v>
                </c:pt>
                <c:pt idx="21">
                  <c:v>19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10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1-49BF-938C-E658F5A738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6926095"/>
        <c:axId val="376919375"/>
      </c:lineChart>
      <c:valAx>
        <c:axId val="195285252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 TRATADOS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3008"/>
        <c:crosses val="max"/>
        <c:crossBetween val="between"/>
      </c:valAx>
      <c:catAx>
        <c:axId val="195285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52852528"/>
        <c:crosses val="autoZero"/>
        <c:auto val="1"/>
        <c:lblAlgn val="ctr"/>
        <c:lblOffset val="100"/>
        <c:noMultiLvlLbl val="0"/>
      </c:catAx>
      <c:valAx>
        <c:axId val="376919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HORAS DE OPERACION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6926095"/>
        <c:crosses val="autoZero"/>
        <c:crossBetween val="between"/>
      </c:valAx>
      <c:catAx>
        <c:axId val="376926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919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ABRIL.xlsx]DB QUIMICA!TablaDinámica2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TIEMPO DE OPERACIÓN - SISTEMA OSMOSIS INVERSA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'DB QUIMICA'!$AZ$4</c:f>
              <c:strCache>
                <c:ptCount val="1"/>
                <c:pt idx="0">
                  <c:v>VOLUMEN ENVIADO A RO (m3)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QUIMICA'!$AZ$5:$AZ$35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388.57399999999996</c:v>
                </c:pt>
                <c:pt idx="6">
                  <c:v>983.59799999999996</c:v>
                </c:pt>
                <c:pt idx="7">
                  <c:v>892.84300000000007</c:v>
                </c:pt>
                <c:pt idx="8">
                  <c:v>825.06600000000003</c:v>
                </c:pt>
                <c:pt idx="9">
                  <c:v>863.92000000000007</c:v>
                </c:pt>
                <c:pt idx="10">
                  <c:v>404.33300000000003</c:v>
                </c:pt>
                <c:pt idx="11">
                  <c:v>0</c:v>
                </c:pt>
                <c:pt idx="12">
                  <c:v>402.16300000000001</c:v>
                </c:pt>
                <c:pt idx="13">
                  <c:v>897.92100000000005</c:v>
                </c:pt>
                <c:pt idx="14">
                  <c:v>944.20700000000011</c:v>
                </c:pt>
                <c:pt idx="15">
                  <c:v>987.57600000000002</c:v>
                </c:pt>
                <c:pt idx="16">
                  <c:v>755.36500000000001</c:v>
                </c:pt>
                <c:pt idx="17">
                  <c:v>688.20900000000006</c:v>
                </c:pt>
                <c:pt idx="18">
                  <c:v>0</c:v>
                </c:pt>
                <c:pt idx="19">
                  <c:v>829.34699999999998</c:v>
                </c:pt>
                <c:pt idx="20">
                  <c:v>909.375</c:v>
                </c:pt>
                <c:pt idx="21">
                  <c:v>872.69399999999996</c:v>
                </c:pt>
                <c:pt idx="22">
                  <c:v>839.55500000000006</c:v>
                </c:pt>
                <c:pt idx="23">
                  <c:v>825.55399999999997</c:v>
                </c:pt>
                <c:pt idx="24">
                  <c:v>622.58199999999999</c:v>
                </c:pt>
                <c:pt idx="25">
                  <c:v>125.733</c:v>
                </c:pt>
                <c:pt idx="26">
                  <c:v>940.94499999999994</c:v>
                </c:pt>
                <c:pt idx="27">
                  <c:v>940.33199999999999</c:v>
                </c:pt>
                <c:pt idx="28">
                  <c:v>1045.816</c:v>
                </c:pt>
                <c:pt idx="29">
                  <c:v>709.06099999999992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1961621936"/>
        <c:axId val="1961617616"/>
      </c:barChart>
      <c:lineChart>
        <c:grouping val="standard"/>
        <c:varyColors val="0"/>
        <c:ser>
          <c:idx val="1"/>
          <c:order val="1"/>
          <c:tx>
            <c:strRef>
              <c:f>'DB QUIMICA'!$BA$4</c:f>
              <c:strCache>
                <c:ptCount val="1"/>
                <c:pt idx="0">
                  <c:v>TIEMPO DE OPERACIÓN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QUIMICA'!$AY$5:$AY$35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'DB QUIMICA'!$BA$5:$BA$35</c:f>
              <c:numCache>
                <c:formatCode>0.00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9.3115389082462254</c:v>
                </c:pt>
                <c:pt idx="6">
                  <c:v>24.578780550343964</c:v>
                </c:pt>
                <c:pt idx="7">
                  <c:v>23.008721413721414</c:v>
                </c:pt>
                <c:pt idx="8">
                  <c:v>20.789155769230771</c:v>
                </c:pt>
                <c:pt idx="9">
                  <c:v>22.35182253711201</c:v>
                </c:pt>
                <c:pt idx="10">
                  <c:v>10.939227554179567</c:v>
                </c:pt>
                <c:pt idx="11">
                  <c:v>0</c:v>
                </c:pt>
                <c:pt idx="12">
                  <c:v>9.8088536585365862</c:v>
                </c:pt>
                <c:pt idx="13">
                  <c:v>22.136169806251306</c:v>
                </c:pt>
                <c:pt idx="14">
                  <c:v>21.768511627906975</c:v>
                </c:pt>
                <c:pt idx="15">
                  <c:v>23.532730627705632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2-4471-B1D8-97E24CC4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734544"/>
        <c:axId val="2053735504"/>
      </c:lineChart>
      <c:catAx>
        <c:axId val="20537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5504"/>
        <c:crosses val="autoZero"/>
        <c:auto val="1"/>
        <c:lblAlgn val="ctr"/>
        <c:lblOffset val="100"/>
        <c:noMultiLvlLbl val="0"/>
      </c:catAx>
      <c:valAx>
        <c:axId val="2053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734544"/>
        <c:crosses val="autoZero"/>
        <c:crossBetween val="between"/>
      </c:valAx>
      <c:valAx>
        <c:axId val="196161761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1621936"/>
        <c:crosses val="max"/>
        <c:crossBetween val="between"/>
      </c:valAx>
      <c:catAx>
        <c:axId val="196162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61617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COONSUMO</a:t>
            </a:r>
            <a:r>
              <a:rPr lang="es-CO" baseline="0"/>
              <a:t> PPM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6451946353323385E-2"/>
          <c:y val="0.20793102582649275"/>
          <c:w val="0.90637920092540336"/>
          <c:h val="0.621270500679828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GRAFICAS!$W$3</c:f>
              <c:strCache>
                <c:ptCount val="1"/>
                <c:pt idx="0">
                  <c:v>COF 494 - PPM POL CATIONICO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GRAFICAS!$W$4:$W$34</c:f>
              <c:numCache>
                <c:formatCode>#,##0</c:formatCode>
                <c:ptCount val="30"/>
                <c:pt idx="0">
                  <c:v>0</c:v>
                </c:pt>
                <c:pt idx="1">
                  <c:v>2.8409090909090908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3.6057692307692308</c:v>
                </c:pt>
                <c:pt idx="6">
                  <c:v>2.3169601482854496</c:v>
                </c:pt>
                <c:pt idx="7">
                  <c:v>2.0833333333333335</c:v>
                </c:pt>
                <c:pt idx="8">
                  <c:v>2.9296875</c:v>
                </c:pt>
                <c:pt idx="9">
                  <c:v>2.4671052631578947</c:v>
                </c:pt>
                <c:pt idx="10">
                  <c:v>2.4038461538461537</c:v>
                </c:pt>
                <c:pt idx="11">
                  <c:v>0</c:v>
                </c:pt>
                <c:pt idx="12">
                  <c:v>3.6764705882352939</c:v>
                </c:pt>
                <c:pt idx="13">
                  <c:v>3.90625</c:v>
                </c:pt>
                <c:pt idx="14">
                  <c:v>4.166666666666667</c:v>
                </c:pt>
                <c:pt idx="15">
                  <c:v>1.5625</c:v>
                </c:pt>
                <c:pt idx="16">
                  <c:v>2.6041666666666665</c:v>
                </c:pt>
                <c:pt idx="17">
                  <c:v>2.2321428571428572</c:v>
                </c:pt>
                <c:pt idx="18">
                  <c:v>0</c:v>
                </c:pt>
                <c:pt idx="19">
                  <c:v>2.34375</c:v>
                </c:pt>
                <c:pt idx="20">
                  <c:v>2.7573529411764706</c:v>
                </c:pt>
                <c:pt idx="21">
                  <c:v>2.4671052631578947</c:v>
                </c:pt>
                <c:pt idx="22">
                  <c:v>3.3444816053511706</c:v>
                </c:pt>
                <c:pt idx="23">
                  <c:v>0.91911764705882348</c:v>
                </c:pt>
                <c:pt idx="24">
                  <c:v>2.7573529411764706</c:v>
                </c:pt>
                <c:pt idx="25">
                  <c:v>3.125</c:v>
                </c:pt>
                <c:pt idx="26">
                  <c:v>3.2894736842105261</c:v>
                </c:pt>
                <c:pt idx="27">
                  <c:v>1.5625</c:v>
                </c:pt>
                <c:pt idx="28">
                  <c:v>2.2321428571428572</c:v>
                </c:pt>
                <c:pt idx="29">
                  <c:v>2.4671052631578947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8-4AEB-AE4F-B463D406B34D}"/>
            </c:ext>
          </c:extLst>
        </c:ser>
        <c:ser>
          <c:idx val="1"/>
          <c:order val="1"/>
          <c:tx>
            <c:strRef>
              <c:f>GRAFICAS!$X$3</c:f>
              <c:strCache>
                <c:ptCount val="1"/>
                <c:pt idx="0">
                  <c:v>COF 440 - PPM POL ANIONICO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GRAFICAS!$X$4:$X$34</c:f>
              <c:numCache>
                <c:formatCode>#,##0</c:formatCode>
                <c:ptCount val="30"/>
                <c:pt idx="0">
                  <c:v>0</c:v>
                </c:pt>
                <c:pt idx="1">
                  <c:v>2.8409090909090908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1.2019230769230769</c:v>
                </c:pt>
                <c:pt idx="6">
                  <c:v>1.1584800741427248</c:v>
                </c:pt>
                <c:pt idx="7">
                  <c:v>1.0416666666666667</c:v>
                </c:pt>
                <c:pt idx="8">
                  <c:v>1.953125</c:v>
                </c:pt>
                <c:pt idx="9">
                  <c:v>1.6447368421052631</c:v>
                </c:pt>
                <c:pt idx="10">
                  <c:v>0</c:v>
                </c:pt>
                <c:pt idx="11">
                  <c:v>0</c:v>
                </c:pt>
                <c:pt idx="12">
                  <c:v>0.91911764705882348</c:v>
                </c:pt>
                <c:pt idx="13">
                  <c:v>2.9296875</c:v>
                </c:pt>
                <c:pt idx="14">
                  <c:v>1.0416666666666667</c:v>
                </c:pt>
                <c:pt idx="15">
                  <c:v>1.5625</c:v>
                </c:pt>
                <c:pt idx="16">
                  <c:v>0.86805555555555558</c:v>
                </c:pt>
                <c:pt idx="17">
                  <c:v>0.74404761904761907</c:v>
                </c:pt>
                <c:pt idx="18">
                  <c:v>0</c:v>
                </c:pt>
                <c:pt idx="19">
                  <c:v>0.78125</c:v>
                </c:pt>
                <c:pt idx="20">
                  <c:v>1.838235294117647</c:v>
                </c:pt>
                <c:pt idx="21">
                  <c:v>1.6447368421052631</c:v>
                </c:pt>
                <c:pt idx="22">
                  <c:v>1.6722408026755853</c:v>
                </c:pt>
                <c:pt idx="23">
                  <c:v>0.91911764705882348</c:v>
                </c:pt>
                <c:pt idx="24">
                  <c:v>0.91911764705882348</c:v>
                </c:pt>
                <c:pt idx="25">
                  <c:v>1.5625</c:v>
                </c:pt>
                <c:pt idx="26">
                  <c:v>2.4671052631578947</c:v>
                </c:pt>
                <c:pt idx="27">
                  <c:v>1.5625</c:v>
                </c:pt>
                <c:pt idx="28">
                  <c:v>2.2321428571428572</c:v>
                </c:pt>
                <c:pt idx="29">
                  <c:v>2.4671052631578947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8-4AEB-AE4F-B463D406B34D}"/>
            </c:ext>
          </c:extLst>
        </c:ser>
        <c:ser>
          <c:idx val="2"/>
          <c:order val="2"/>
          <c:tx>
            <c:strRef>
              <c:f>GRAFICAS!$Y$3</c:f>
              <c:strCache>
                <c:ptCount val="1"/>
                <c:pt idx="0">
                  <c:v>COF 280 - PPM ACIDO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GRAFICAS!$Y$4:$Y$34</c:f>
              <c:numCache>
                <c:formatCode>#,##0</c:formatCode>
                <c:ptCount val="30"/>
                <c:pt idx="0">
                  <c:v>0</c:v>
                </c:pt>
                <c:pt idx="1">
                  <c:v>204.54545454545453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144.23076923076923</c:v>
                </c:pt>
                <c:pt idx="6">
                  <c:v>139.01760889712696</c:v>
                </c:pt>
                <c:pt idx="7">
                  <c:v>308.33333333333331</c:v>
                </c:pt>
                <c:pt idx="8">
                  <c:v>335.9375</c:v>
                </c:pt>
                <c:pt idx="9">
                  <c:v>131.57894736842104</c:v>
                </c:pt>
                <c:pt idx="10">
                  <c:v>173.07692307692307</c:v>
                </c:pt>
                <c:pt idx="11">
                  <c:v>0</c:v>
                </c:pt>
                <c:pt idx="12">
                  <c:v>257.35294117647061</c:v>
                </c:pt>
                <c:pt idx="13">
                  <c:v>156.25</c:v>
                </c:pt>
                <c:pt idx="14">
                  <c:v>166.66666666666666</c:v>
                </c:pt>
                <c:pt idx="15">
                  <c:v>200</c:v>
                </c:pt>
                <c:pt idx="16">
                  <c:v>388.88888888888891</c:v>
                </c:pt>
                <c:pt idx="17">
                  <c:v>270.83333333333331</c:v>
                </c:pt>
                <c:pt idx="18">
                  <c:v>0</c:v>
                </c:pt>
                <c:pt idx="19">
                  <c:v>46.875</c:v>
                </c:pt>
                <c:pt idx="20">
                  <c:v>205.88235294117646</c:v>
                </c:pt>
                <c:pt idx="21">
                  <c:v>203.94736842105263</c:v>
                </c:pt>
                <c:pt idx="22">
                  <c:v>214.04682274247492</c:v>
                </c:pt>
                <c:pt idx="23">
                  <c:v>227.94117647058823</c:v>
                </c:pt>
                <c:pt idx="24">
                  <c:v>220.58823529411765</c:v>
                </c:pt>
                <c:pt idx="25">
                  <c:v>287.5</c:v>
                </c:pt>
                <c:pt idx="26">
                  <c:v>315.78947368421052</c:v>
                </c:pt>
                <c:pt idx="27">
                  <c:v>325</c:v>
                </c:pt>
                <c:pt idx="28">
                  <c:v>154.76190476190476</c:v>
                </c:pt>
                <c:pt idx="29">
                  <c:v>223.68421052631578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8-4AEB-AE4F-B463D406B34D}"/>
            </c:ext>
          </c:extLst>
        </c:ser>
        <c:ser>
          <c:idx val="3"/>
          <c:order val="3"/>
          <c:tx>
            <c:strRef>
              <c:f>GRAFICAS!$Z$3</c:f>
              <c:strCache>
                <c:ptCount val="1"/>
                <c:pt idx="0">
                  <c:v>COF 235 - PPM COAGULANTE 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GRAFICAS!$Z$4:$Z$34</c:f>
              <c:numCache>
                <c:formatCode>#,##0</c:formatCode>
                <c:ptCount val="30"/>
                <c:pt idx="0">
                  <c:v>0</c:v>
                </c:pt>
                <c:pt idx="1">
                  <c:v>136.36363636363637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413.46153846153845</c:v>
                </c:pt>
                <c:pt idx="6">
                  <c:v>389.24930491195551</c:v>
                </c:pt>
                <c:pt idx="7">
                  <c:v>283.33333333333331</c:v>
                </c:pt>
                <c:pt idx="8">
                  <c:v>164.0625</c:v>
                </c:pt>
                <c:pt idx="9">
                  <c:v>276.31578947368422</c:v>
                </c:pt>
                <c:pt idx="10">
                  <c:v>355.76923076923077</c:v>
                </c:pt>
                <c:pt idx="11">
                  <c:v>0</c:v>
                </c:pt>
                <c:pt idx="12">
                  <c:v>220.58823529411765</c:v>
                </c:pt>
                <c:pt idx="13">
                  <c:v>445.3125</c:v>
                </c:pt>
                <c:pt idx="14">
                  <c:v>291.66666666666669</c:v>
                </c:pt>
                <c:pt idx="15">
                  <c:v>318.75</c:v>
                </c:pt>
                <c:pt idx="16">
                  <c:v>375</c:v>
                </c:pt>
                <c:pt idx="17">
                  <c:v>297.61904761904759</c:v>
                </c:pt>
                <c:pt idx="18">
                  <c:v>0</c:v>
                </c:pt>
                <c:pt idx="19">
                  <c:v>268.75</c:v>
                </c:pt>
                <c:pt idx="20">
                  <c:v>279.41176470588238</c:v>
                </c:pt>
                <c:pt idx="21">
                  <c:v>427.63157894736844</c:v>
                </c:pt>
                <c:pt idx="22">
                  <c:v>240.80267558528428</c:v>
                </c:pt>
                <c:pt idx="23">
                  <c:v>227.94117647058823</c:v>
                </c:pt>
                <c:pt idx="24">
                  <c:v>301.47058823529414</c:v>
                </c:pt>
                <c:pt idx="25">
                  <c:v>125</c:v>
                </c:pt>
                <c:pt idx="26">
                  <c:v>289.4736842105263</c:v>
                </c:pt>
                <c:pt idx="27">
                  <c:v>381.25</c:v>
                </c:pt>
                <c:pt idx="28">
                  <c:v>315.47619047619048</c:v>
                </c:pt>
                <c:pt idx="29">
                  <c:v>348.68421052631578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8-4AEB-AE4F-B463D406B34D}"/>
            </c:ext>
          </c:extLst>
        </c:ser>
        <c:ser>
          <c:idx val="4"/>
          <c:order val="4"/>
          <c:tx>
            <c:strRef>
              <c:f>GRAFICAS!$AA$3</c:f>
              <c:strCache>
                <c:ptCount val="1"/>
                <c:pt idx="0">
                  <c:v>COF 255 - PPM DECOLORANTE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GRAFICAS!$AA$4:$AA$34</c:f>
              <c:numCache>
                <c:formatCode>#,##0</c:formatCode>
                <c:ptCount val="30"/>
                <c:pt idx="0">
                  <c:v>0</c:v>
                </c:pt>
                <c:pt idx="1">
                  <c:v>102.27272727272727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67.307692307692307</c:v>
                </c:pt>
                <c:pt idx="6">
                  <c:v>111.21408711770158</c:v>
                </c:pt>
                <c:pt idx="7">
                  <c:v>83.333333333333329</c:v>
                </c:pt>
                <c:pt idx="8">
                  <c:v>54.6875</c:v>
                </c:pt>
                <c:pt idx="9">
                  <c:v>92.10526315789474</c:v>
                </c:pt>
                <c:pt idx="10">
                  <c:v>182.69230769230768</c:v>
                </c:pt>
                <c:pt idx="11">
                  <c:v>0</c:v>
                </c:pt>
                <c:pt idx="12">
                  <c:v>110.29411764705883</c:v>
                </c:pt>
                <c:pt idx="13">
                  <c:v>93.75</c:v>
                </c:pt>
                <c:pt idx="14">
                  <c:v>150</c:v>
                </c:pt>
                <c:pt idx="15">
                  <c:v>125</c:v>
                </c:pt>
                <c:pt idx="16">
                  <c:v>173.61111111111111</c:v>
                </c:pt>
                <c:pt idx="17">
                  <c:v>181.54761904761904</c:v>
                </c:pt>
                <c:pt idx="18">
                  <c:v>0</c:v>
                </c:pt>
                <c:pt idx="19">
                  <c:v>109.375</c:v>
                </c:pt>
                <c:pt idx="20">
                  <c:v>139.70588235294119</c:v>
                </c:pt>
                <c:pt idx="21">
                  <c:v>190.78947368421052</c:v>
                </c:pt>
                <c:pt idx="22">
                  <c:v>100.33444816053512</c:v>
                </c:pt>
                <c:pt idx="23">
                  <c:v>110.29411764705883</c:v>
                </c:pt>
                <c:pt idx="24">
                  <c:v>102.94117647058823</c:v>
                </c:pt>
                <c:pt idx="25">
                  <c:v>37.5</c:v>
                </c:pt>
                <c:pt idx="26">
                  <c:v>92.10526315789474</c:v>
                </c:pt>
                <c:pt idx="27">
                  <c:v>112.5</c:v>
                </c:pt>
                <c:pt idx="28">
                  <c:v>148.8095238095238</c:v>
                </c:pt>
                <c:pt idx="29">
                  <c:v>105.26315789473684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693195471"/>
        <c:axId val="693195951"/>
      </c:barChart>
      <c:lineChart>
        <c:grouping val="standard"/>
        <c:varyColors val="0"/>
        <c:ser>
          <c:idx val="5"/>
          <c:order val="5"/>
          <c:tx>
            <c:strRef>
              <c:f>GRAFICAS!$AB$3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GRAFICAS!$V$4:$V$34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GRAFICAS!$AB$4:$AB$34</c:f>
              <c:numCache>
                <c:formatCode>"$"\ 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88-4AEB-AE4F-B463D406B3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8027599"/>
        <c:axId val="1048018479"/>
      </c:lineChart>
      <c:catAx>
        <c:axId val="6931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951"/>
        <c:crosses val="autoZero"/>
        <c:auto val="1"/>
        <c:lblAlgn val="ctr"/>
        <c:lblOffset val="100"/>
        <c:noMultiLvlLbl val="0"/>
      </c:catAx>
      <c:valAx>
        <c:axId val="693195951"/>
        <c:scaling>
          <c:orientation val="minMax"/>
          <c:max val="2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  <a:r>
                  <a:rPr lang="es-CO" baseline="0"/>
                  <a:t> 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195471"/>
        <c:crosses val="autoZero"/>
        <c:crossBetween val="between"/>
      </c:valAx>
      <c:valAx>
        <c:axId val="1048018479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8027599"/>
        <c:crosses val="max"/>
        <c:crossBetween val="between"/>
      </c:valAx>
      <c:catAx>
        <c:axId val="1048027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80184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(L) Vs $M3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6.0139664162412856E-2"/>
          <c:y val="0.18913399553350699"/>
          <c:w val="0.88938762772490099"/>
          <c:h val="0.617456101501561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GRAFICAS!$AE$3</c:f>
              <c:strCache>
                <c:ptCount val="1"/>
                <c:pt idx="0">
                  <c:v>CONSUMO POL CATIONICO (KG)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GRAFICAS!$AE$4:$AE$34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3-4FAB-8D98-F09374125810}"/>
            </c:ext>
          </c:extLst>
        </c:ser>
        <c:ser>
          <c:idx val="1"/>
          <c:order val="1"/>
          <c:tx>
            <c:strRef>
              <c:f>GRAFICAS!$AF$3</c:f>
              <c:strCache>
                <c:ptCount val="1"/>
                <c:pt idx="0">
                  <c:v>CONSUMO POL ANIONICO (KG)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GRAFICAS!$AF$4:$AF$34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33-4FAB-8D98-F09374125810}"/>
            </c:ext>
          </c:extLst>
        </c:ser>
        <c:ser>
          <c:idx val="2"/>
          <c:order val="2"/>
          <c:tx>
            <c:strRef>
              <c:f>GRAFICAS!$AG$3</c:f>
              <c:strCache>
                <c:ptCount val="1"/>
                <c:pt idx="0">
                  <c:v>CONSUMO LITROS ACIDO (L)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GRAFICAS!$AG$4:$AG$34</c:f>
              <c:numCache>
                <c:formatCode>#,##0</c:formatCode>
                <c:ptCount val="30"/>
                <c:pt idx="0">
                  <c:v>0</c:v>
                </c:pt>
                <c:pt idx="1">
                  <c:v>180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150</c:v>
                </c:pt>
                <c:pt idx="6">
                  <c:v>150</c:v>
                </c:pt>
                <c:pt idx="7">
                  <c:v>370</c:v>
                </c:pt>
                <c:pt idx="8">
                  <c:v>430</c:v>
                </c:pt>
                <c:pt idx="9">
                  <c:v>200</c:v>
                </c:pt>
                <c:pt idx="10">
                  <c:v>180</c:v>
                </c:pt>
                <c:pt idx="11">
                  <c:v>0</c:v>
                </c:pt>
                <c:pt idx="12">
                  <c:v>350</c:v>
                </c:pt>
                <c:pt idx="13">
                  <c:v>200</c:v>
                </c:pt>
                <c:pt idx="14">
                  <c:v>200</c:v>
                </c:pt>
                <c:pt idx="15">
                  <c:v>320</c:v>
                </c:pt>
                <c:pt idx="16">
                  <c:v>560</c:v>
                </c:pt>
                <c:pt idx="17">
                  <c:v>455</c:v>
                </c:pt>
                <c:pt idx="18">
                  <c:v>0</c:v>
                </c:pt>
                <c:pt idx="19">
                  <c:v>75</c:v>
                </c:pt>
                <c:pt idx="20">
                  <c:v>280</c:v>
                </c:pt>
                <c:pt idx="21">
                  <c:v>310</c:v>
                </c:pt>
                <c:pt idx="22">
                  <c:v>320</c:v>
                </c:pt>
                <c:pt idx="23">
                  <c:v>310</c:v>
                </c:pt>
                <c:pt idx="24">
                  <c:v>300</c:v>
                </c:pt>
                <c:pt idx="25">
                  <c:v>230</c:v>
                </c:pt>
                <c:pt idx="26">
                  <c:v>480</c:v>
                </c:pt>
                <c:pt idx="27">
                  <c:v>520</c:v>
                </c:pt>
                <c:pt idx="28">
                  <c:v>260</c:v>
                </c:pt>
                <c:pt idx="29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33-4FAB-8D98-F09374125810}"/>
            </c:ext>
          </c:extLst>
        </c:ser>
        <c:ser>
          <c:idx val="3"/>
          <c:order val="3"/>
          <c:tx>
            <c:strRef>
              <c:f>GRAFICAS!$AH$3</c:f>
              <c:strCache>
                <c:ptCount val="1"/>
                <c:pt idx="0">
                  <c:v>CONSUMO LITROS COAGULANTE (L)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GRAFICAS!$AH$4:$AH$34</c:f>
              <c:numCache>
                <c:formatCode>#,##0</c:formatCode>
                <c:ptCount val="30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430</c:v>
                </c:pt>
                <c:pt idx="6">
                  <c:v>420</c:v>
                </c:pt>
                <c:pt idx="7">
                  <c:v>340</c:v>
                </c:pt>
                <c:pt idx="8">
                  <c:v>210</c:v>
                </c:pt>
                <c:pt idx="9">
                  <c:v>420</c:v>
                </c:pt>
                <c:pt idx="10">
                  <c:v>370</c:v>
                </c:pt>
                <c:pt idx="11">
                  <c:v>0</c:v>
                </c:pt>
                <c:pt idx="12">
                  <c:v>300</c:v>
                </c:pt>
                <c:pt idx="13">
                  <c:v>570</c:v>
                </c:pt>
                <c:pt idx="14">
                  <c:v>350</c:v>
                </c:pt>
                <c:pt idx="15">
                  <c:v>510</c:v>
                </c:pt>
                <c:pt idx="16">
                  <c:v>540</c:v>
                </c:pt>
                <c:pt idx="17">
                  <c:v>500</c:v>
                </c:pt>
                <c:pt idx="18">
                  <c:v>0</c:v>
                </c:pt>
                <c:pt idx="19">
                  <c:v>430</c:v>
                </c:pt>
                <c:pt idx="20">
                  <c:v>380</c:v>
                </c:pt>
                <c:pt idx="21">
                  <c:v>650</c:v>
                </c:pt>
                <c:pt idx="22">
                  <c:v>360</c:v>
                </c:pt>
                <c:pt idx="23">
                  <c:v>310</c:v>
                </c:pt>
                <c:pt idx="24">
                  <c:v>410</c:v>
                </c:pt>
                <c:pt idx="25">
                  <c:v>100</c:v>
                </c:pt>
                <c:pt idx="26">
                  <c:v>440</c:v>
                </c:pt>
                <c:pt idx="27">
                  <c:v>610</c:v>
                </c:pt>
                <c:pt idx="28">
                  <c:v>530</c:v>
                </c:pt>
                <c:pt idx="29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33-4FAB-8D98-F09374125810}"/>
            </c:ext>
          </c:extLst>
        </c:ser>
        <c:ser>
          <c:idx val="4"/>
          <c:order val="4"/>
          <c:tx>
            <c:strRef>
              <c:f>GRAFICAS!$AI$3</c:f>
              <c:strCache>
                <c:ptCount val="1"/>
                <c:pt idx="0">
                  <c:v>CONSUMO LITROS DECOLORANTE (L)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GRAFICAS!$AI$4:$AI$34</c:f>
              <c:numCache>
                <c:formatCode>#,##0</c:formatCode>
                <c:ptCount val="30"/>
                <c:pt idx="0">
                  <c:v>0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70</c:v>
                </c:pt>
                <c:pt idx="6">
                  <c:v>120</c:v>
                </c:pt>
                <c:pt idx="7">
                  <c:v>100</c:v>
                </c:pt>
                <c:pt idx="8">
                  <c:v>70</c:v>
                </c:pt>
                <c:pt idx="9">
                  <c:v>140</c:v>
                </c:pt>
                <c:pt idx="10">
                  <c:v>190</c:v>
                </c:pt>
                <c:pt idx="11">
                  <c:v>0</c:v>
                </c:pt>
                <c:pt idx="12">
                  <c:v>150</c:v>
                </c:pt>
                <c:pt idx="13">
                  <c:v>120</c:v>
                </c:pt>
                <c:pt idx="14">
                  <c:v>180</c:v>
                </c:pt>
                <c:pt idx="15">
                  <c:v>200</c:v>
                </c:pt>
                <c:pt idx="16">
                  <c:v>250</c:v>
                </c:pt>
                <c:pt idx="17">
                  <c:v>305</c:v>
                </c:pt>
                <c:pt idx="18">
                  <c:v>0</c:v>
                </c:pt>
                <c:pt idx="19">
                  <c:v>175</c:v>
                </c:pt>
                <c:pt idx="20">
                  <c:v>190</c:v>
                </c:pt>
                <c:pt idx="21">
                  <c:v>290</c:v>
                </c:pt>
                <c:pt idx="22">
                  <c:v>150</c:v>
                </c:pt>
                <c:pt idx="23">
                  <c:v>150</c:v>
                </c:pt>
                <c:pt idx="24">
                  <c:v>140</c:v>
                </c:pt>
                <c:pt idx="25">
                  <c:v>30</c:v>
                </c:pt>
                <c:pt idx="26">
                  <c:v>140</c:v>
                </c:pt>
                <c:pt idx="27">
                  <c:v>180</c:v>
                </c:pt>
                <c:pt idx="28">
                  <c:v>250</c:v>
                </c:pt>
                <c:pt idx="29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307551"/>
        <c:axId val="1065306111"/>
      </c:barChart>
      <c:lineChart>
        <c:grouping val="standard"/>
        <c:varyColors val="0"/>
        <c:ser>
          <c:idx val="5"/>
          <c:order val="5"/>
          <c:tx>
            <c:strRef>
              <c:f>GRAFICAS!$AJ$3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7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E-4D28-8CCF-2A66084BBB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GRAFICAS!$AD$4:$AD$34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GRAFICAS!$AJ$4:$AJ$34</c:f>
              <c:numCache>
                <c:formatCode>"$"\ 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3-4FAB-8D98-F093741258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191871"/>
        <c:axId val="1065188031"/>
      </c:lineChart>
      <c:catAx>
        <c:axId val="106530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6111"/>
        <c:crosses val="autoZero"/>
        <c:auto val="1"/>
        <c:lblAlgn val="ctr"/>
        <c:lblOffset val="100"/>
        <c:noMultiLvlLbl val="0"/>
      </c:catAx>
      <c:valAx>
        <c:axId val="1065306111"/>
        <c:scaling>
          <c:orientation val="minMax"/>
          <c:max val="2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 CONSUMIDOS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307551"/>
        <c:crosses val="autoZero"/>
        <c:crossBetween val="between"/>
      </c:valAx>
      <c:valAx>
        <c:axId val="106518803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191871"/>
        <c:crosses val="max"/>
        <c:crossBetween val="between"/>
      </c:valAx>
      <c:catAx>
        <c:axId val="106519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1880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 KG Vs $M3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2772984909981386E-2"/>
          <c:y val="0.20041477822732073"/>
          <c:w val="0.89066770850664323"/>
          <c:h val="0.6459192639984369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GRAFICAS!$AM$3</c:f>
              <c:strCache>
                <c:ptCount val="1"/>
                <c:pt idx="0">
                  <c:v>KG POL CATIONICO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GRAFICAS!$AM$4:$AM$34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10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1DB-B0A9-2EB2E3A0ED31}"/>
            </c:ext>
          </c:extLst>
        </c:ser>
        <c:ser>
          <c:idx val="1"/>
          <c:order val="1"/>
          <c:tx>
            <c:strRef>
              <c:f>GRAFICAS!$AN$3</c:f>
              <c:strCache>
                <c:ptCount val="1"/>
                <c:pt idx="0">
                  <c:v>KG POL ANIONICO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GRAFICAS!$AN$4:$AN$34</c:f>
              <c:numCache>
                <c:formatCode>#,##0</c:formatCode>
                <c:ptCount val="30"/>
                <c:pt idx="0">
                  <c:v>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15</c:v>
                </c:pt>
                <c:pt idx="14">
                  <c:v>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0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15</c:v>
                </c:pt>
                <c:pt idx="27">
                  <c:v>10</c:v>
                </c:pt>
                <c:pt idx="28">
                  <c:v>15</c:v>
                </c:pt>
                <c:pt idx="2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8-41DB-B0A9-2EB2E3A0ED31}"/>
            </c:ext>
          </c:extLst>
        </c:ser>
        <c:ser>
          <c:idx val="2"/>
          <c:order val="2"/>
          <c:tx>
            <c:strRef>
              <c:f>GRAFICAS!$AO$3</c:f>
              <c:strCache>
                <c:ptCount val="1"/>
                <c:pt idx="0">
                  <c:v>KG ACIDO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GRAFICAS!$AO$4:$AO$34</c:f>
              <c:numCache>
                <c:formatCode>#,##0</c:formatCode>
                <c:ptCount val="30"/>
                <c:pt idx="0">
                  <c:v>0</c:v>
                </c:pt>
                <c:pt idx="1">
                  <c:v>234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195</c:v>
                </c:pt>
                <c:pt idx="6">
                  <c:v>195</c:v>
                </c:pt>
                <c:pt idx="7">
                  <c:v>481</c:v>
                </c:pt>
                <c:pt idx="8">
                  <c:v>559</c:v>
                </c:pt>
                <c:pt idx="9">
                  <c:v>260</c:v>
                </c:pt>
                <c:pt idx="10">
                  <c:v>234</c:v>
                </c:pt>
                <c:pt idx="11">
                  <c:v>0</c:v>
                </c:pt>
                <c:pt idx="12">
                  <c:v>455</c:v>
                </c:pt>
                <c:pt idx="13">
                  <c:v>260</c:v>
                </c:pt>
                <c:pt idx="14">
                  <c:v>260</c:v>
                </c:pt>
                <c:pt idx="15">
                  <c:v>416</c:v>
                </c:pt>
                <c:pt idx="16">
                  <c:v>728</c:v>
                </c:pt>
                <c:pt idx="17">
                  <c:v>591.5</c:v>
                </c:pt>
                <c:pt idx="18">
                  <c:v>0</c:v>
                </c:pt>
                <c:pt idx="19">
                  <c:v>97.5</c:v>
                </c:pt>
                <c:pt idx="20">
                  <c:v>364</c:v>
                </c:pt>
                <c:pt idx="21">
                  <c:v>403</c:v>
                </c:pt>
                <c:pt idx="22">
                  <c:v>416</c:v>
                </c:pt>
                <c:pt idx="23">
                  <c:v>403</c:v>
                </c:pt>
                <c:pt idx="24">
                  <c:v>390</c:v>
                </c:pt>
                <c:pt idx="25">
                  <c:v>299</c:v>
                </c:pt>
                <c:pt idx="26">
                  <c:v>624</c:v>
                </c:pt>
                <c:pt idx="27">
                  <c:v>676</c:v>
                </c:pt>
                <c:pt idx="28">
                  <c:v>338</c:v>
                </c:pt>
                <c:pt idx="29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8-41DB-B0A9-2EB2E3A0ED31}"/>
            </c:ext>
          </c:extLst>
        </c:ser>
        <c:ser>
          <c:idx val="3"/>
          <c:order val="3"/>
          <c:tx>
            <c:strRef>
              <c:f>GRAFICAS!$AP$3</c:f>
              <c:strCache>
                <c:ptCount val="1"/>
                <c:pt idx="0">
                  <c:v>KG COAGULANTE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GRAFICAS!$AP$4:$AP$34</c:f>
              <c:numCache>
                <c:formatCode>#,##0</c:formatCode>
                <c:ptCount val="30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569.75</c:v>
                </c:pt>
                <c:pt idx="6">
                  <c:v>556.5</c:v>
                </c:pt>
                <c:pt idx="7">
                  <c:v>450.5</c:v>
                </c:pt>
                <c:pt idx="8">
                  <c:v>278.25</c:v>
                </c:pt>
                <c:pt idx="9">
                  <c:v>556.5</c:v>
                </c:pt>
                <c:pt idx="10">
                  <c:v>490.25</c:v>
                </c:pt>
                <c:pt idx="11">
                  <c:v>0</c:v>
                </c:pt>
                <c:pt idx="12">
                  <c:v>397.5</c:v>
                </c:pt>
                <c:pt idx="13">
                  <c:v>755.25</c:v>
                </c:pt>
                <c:pt idx="14">
                  <c:v>463.75</c:v>
                </c:pt>
                <c:pt idx="15">
                  <c:v>675.75</c:v>
                </c:pt>
                <c:pt idx="16">
                  <c:v>715.5</c:v>
                </c:pt>
                <c:pt idx="17">
                  <c:v>662.5</c:v>
                </c:pt>
                <c:pt idx="18">
                  <c:v>0</c:v>
                </c:pt>
                <c:pt idx="19">
                  <c:v>569.75</c:v>
                </c:pt>
                <c:pt idx="20">
                  <c:v>503.5</c:v>
                </c:pt>
                <c:pt idx="21">
                  <c:v>861.25</c:v>
                </c:pt>
                <c:pt idx="22">
                  <c:v>477</c:v>
                </c:pt>
                <c:pt idx="23">
                  <c:v>410.75</c:v>
                </c:pt>
                <c:pt idx="24">
                  <c:v>543.25</c:v>
                </c:pt>
                <c:pt idx="25">
                  <c:v>132.5</c:v>
                </c:pt>
                <c:pt idx="26">
                  <c:v>583</c:v>
                </c:pt>
                <c:pt idx="27">
                  <c:v>808.25</c:v>
                </c:pt>
                <c:pt idx="28">
                  <c:v>702.25</c:v>
                </c:pt>
                <c:pt idx="29">
                  <c:v>702.25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8-41DB-B0A9-2EB2E3A0ED31}"/>
            </c:ext>
          </c:extLst>
        </c:ser>
        <c:ser>
          <c:idx val="4"/>
          <c:order val="4"/>
          <c:tx>
            <c:strRef>
              <c:f>GRAFICAS!$AQ$3</c:f>
              <c:strCache>
                <c:ptCount val="1"/>
                <c:pt idx="0">
                  <c:v>KG DECOLORANTE 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GRAFICAS!$AQ$4:$AQ$34</c:f>
              <c:numCache>
                <c:formatCode>#,##0</c:formatCode>
                <c:ptCount val="30"/>
                <c:pt idx="0">
                  <c:v>0</c:v>
                </c:pt>
                <c:pt idx="1">
                  <c:v>112.5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87.5</c:v>
                </c:pt>
                <c:pt idx="6">
                  <c:v>150</c:v>
                </c:pt>
                <c:pt idx="7">
                  <c:v>125</c:v>
                </c:pt>
                <c:pt idx="8">
                  <c:v>87.5</c:v>
                </c:pt>
                <c:pt idx="9">
                  <c:v>175</c:v>
                </c:pt>
                <c:pt idx="10">
                  <c:v>237.5</c:v>
                </c:pt>
                <c:pt idx="11">
                  <c:v>0</c:v>
                </c:pt>
                <c:pt idx="12">
                  <c:v>187.5</c:v>
                </c:pt>
                <c:pt idx="13">
                  <c:v>150</c:v>
                </c:pt>
                <c:pt idx="14">
                  <c:v>225</c:v>
                </c:pt>
                <c:pt idx="15">
                  <c:v>250</c:v>
                </c:pt>
                <c:pt idx="16">
                  <c:v>312.5</c:v>
                </c:pt>
                <c:pt idx="17">
                  <c:v>381.25</c:v>
                </c:pt>
                <c:pt idx="18">
                  <c:v>0</c:v>
                </c:pt>
                <c:pt idx="19">
                  <c:v>218.75</c:v>
                </c:pt>
                <c:pt idx="20">
                  <c:v>237.5</c:v>
                </c:pt>
                <c:pt idx="21">
                  <c:v>362.5</c:v>
                </c:pt>
                <c:pt idx="22">
                  <c:v>187.5</c:v>
                </c:pt>
                <c:pt idx="23">
                  <c:v>187.5</c:v>
                </c:pt>
                <c:pt idx="24">
                  <c:v>175</c:v>
                </c:pt>
                <c:pt idx="25">
                  <c:v>37.5</c:v>
                </c:pt>
                <c:pt idx="26">
                  <c:v>175</c:v>
                </c:pt>
                <c:pt idx="27">
                  <c:v>225</c:v>
                </c:pt>
                <c:pt idx="28">
                  <c:v>312.5</c:v>
                </c:pt>
                <c:pt idx="2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1065209151"/>
        <c:axId val="1065201951"/>
      </c:barChart>
      <c:lineChart>
        <c:grouping val="standard"/>
        <c:varyColors val="0"/>
        <c:ser>
          <c:idx val="5"/>
          <c:order val="5"/>
          <c:tx>
            <c:strRef>
              <c:f>GRAFICAS!$AR$3</c:f>
              <c:strCache>
                <c:ptCount val="1"/>
                <c:pt idx="0">
                  <c:v> INDICADOR $m3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GRAFICAS!$AL$4:$AL$34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GRAFICAS!$AR$4:$AR$34</c:f>
              <c:numCache>
                <c:formatCode>"$"\ #,##0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F8-41DB-B0A9-2EB2E3A0ED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5227871"/>
        <c:axId val="1065210591"/>
      </c:lineChart>
      <c:catAx>
        <c:axId val="1065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1951"/>
        <c:crosses val="autoZero"/>
        <c:auto val="1"/>
        <c:lblAlgn val="ctr"/>
        <c:lblOffset val="100"/>
        <c:noMultiLvlLbl val="0"/>
      </c:catAx>
      <c:valAx>
        <c:axId val="1065201951"/>
        <c:scaling>
          <c:orientation val="minMax"/>
          <c:max val="3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 CONSUMO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09151"/>
        <c:crosses val="autoZero"/>
        <c:crossBetween val="between"/>
      </c:valAx>
      <c:valAx>
        <c:axId val="1065210591"/>
        <c:scaling>
          <c:orientation val="minMax"/>
        </c:scaling>
        <c:delete val="0"/>
        <c:axPos val="r"/>
        <c:numFmt formatCode="&quot;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5227871"/>
        <c:crosses val="max"/>
        <c:crossBetween val="between"/>
      </c:valAx>
      <c:catAx>
        <c:axId val="1065227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5210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COSTOS ABRIL.xlsx]GRAFICAS!TablaDinámica10</c:name>
    <c:fmtId val="1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 QUIMICO</a:t>
            </a:r>
            <a:r>
              <a:rPr lang="es-CO" baseline="0"/>
              <a:t> / M3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GRAFICAS!$AV$3</c:f>
              <c:strCache>
                <c:ptCount val="1"/>
                <c:pt idx="0">
                  <c:v>INDICADOR $ACIDO/M3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GRAFICAS!$AV$4:$AV$34</c:f>
              <c:numCache>
                <c:formatCode>_-"$"\ * #,##0_-;\-"$"\ * #,##0_-;_-"$"\ * "-"??_-;_-@_-</c:formatCode>
                <c:ptCount val="30"/>
                <c:pt idx="0">
                  <c:v>0</c:v>
                </c:pt>
                <c:pt idx="1">
                  <c:v>220.70454545454547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155.625</c:v>
                </c:pt>
                <c:pt idx="6">
                  <c:v>150</c:v>
                </c:pt>
                <c:pt idx="7">
                  <c:v>332.69166666666666</c:v>
                </c:pt>
                <c:pt idx="8">
                  <c:v>362.4765625</c:v>
                </c:pt>
                <c:pt idx="9">
                  <c:v>141.97368421052633</c:v>
                </c:pt>
                <c:pt idx="10">
                  <c:v>186.75</c:v>
                </c:pt>
                <c:pt idx="11">
                  <c:v>0</c:v>
                </c:pt>
                <c:pt idx="12">
                  <c:v>277.68382352941177</c:v>
                </c:pt>
                <c:pt idx="13">
                  <c:v>168.59375</c:v>
                </c:pt>
                <c:pt idx="14">
                  <c:v>179.83333333333334</c:v>
                </c:pt>
                <c:pt idx="15">
                  <c:v>215.8</c:v>
                </c:pt>
                <c:pt idx="16">
                  <c:v>419.61111111111109</c:v>
                </c:pt>
                <c:pt idx="17">
                  <c:v>292.22916666666669</c:v>
                </c:pt>
                <c:pt idx="18">
                  <c:v>0</c:v>
                </c:pt>
                <c:pt idx="19">
                  <c:v>50.578125</c:v>
                </c:pt>
                <c:pt idx="20">
                  <c:v>222.14705882352942</c:v>
                </c:pt>
                <c:pt idx="21">
                  <c:v>220.05921052631578</c:v>
                </c:pt>
                <c:pt idx="22">
                  <c:v>230.95652173913044</c:v>
                </c:pt>
                <c:pt idx="23">
                  <c:v>245.9485294117647</c:v>
                </c:pt>
                <c:pt idx="24">
                  <c:v>238.01470588235293</c:v>
                </c:pt>
                <c:pt idx="25">
                  <c:v>310.21249999999998</c:v>
                </c:pt>
                <c:pt idx="26">
                  <c:v>340.73684210526318</c:v>
                </c:pt>
                <c:pt idx="27">
                  <c:v>350.67500000000001</c:v>
                </c:pt>
                <c:pt idx="28">
                  <c:v>166.98809523809524</c:v>
                </c:pt>
                <c:pt idx="29">
                  <c:v>241.35526315789474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ED-4D75-86BD-3E1E0854316B}"/>
            </c:ext>
          </c:extLst>
        </c:ser>
        <c:ser>
          <c:idx val="2"/>
          <c:order val="2"/>
          <c:tx>
            <c:strRef>
              <c:f>GRAFICAS!$AW$3</c:f>
              <c:strCache>
                <c:ptCount val="1"/>
                <c:pt idx="0">
                  <c:v> INDICADOR $COAGULANTE/M3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GRAFICAS!$AW$4:$AW$34</c:f>
              <c:numCache>
                <c:formatCode>_-"$"\ * #,##0_-;\-"$"\ * #,##0_-;_-"$"\ * "-"??_-;_-@_-</c:formatCode>
                <c:ptCount val="30"/>
                <c:pt idx="0">
                  <c:v>0</c:v>
                </c:pt>
                <c:pt idx="1">
                  <c:v>509.16136363636366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1543.8033653846153</c:v>
                </c:pt>
                <c:pt idx="6">
                  <c:v>1453.3985171455051</c:v>
                </c:pt>
                <c:pt idx="7">
                  <c:v>1057.9241666666667</c:v>
                </c:pt>
                <c:pt idx="8">
                  <c:v>612.58476562500005</c:v>
                </c:pt>
                <c:pt idx="9">
                  <c:v>1031.7217105263157</c:v>
                </c:pt>
                <c:pt idx="10">
                  <c:v>1328.3889423076923</c:v>
                </c:pt>
                <c:pt idx="11">
                  <c:v>0</c:v>
                </c:pt>
                <c:pt idx="12">
                  <c:v>823.64338235294122</c:v>
                </c:pt>
                <c:pt idx="13">
                  <c:v>1662.7300781250001</c:v>
                </c:pt>
                <c:pt idx="14">
                  <c:v>1089.0395833333334</c:v>
                </c:pt>
                <c:pt idx="15">
                  <c:v>1190.1646874999999</c:v>
                </c:pt>
                <c:pt idx="16">
                  <c:v>1400.1937499999999</c:v>
                </c:pt>
                <c:pt idx="17">
                  <c:v>1111.264880952381</c:v>
                </c:pt>
                <c:pt idx="18">
                  <c:v>0</c:v>
                </c:pt>
                <c:pt idx="19">
                  <c:v>1003.4721875</c:v>
                </c:pt>
                <c:pt idx="20">
                  <c:v>1043.2816176470587</c:v>
                </c:pt>
                <c:pt idx="21">
                  <c:v>1596.7121710526317</c:v>
                </c:pt>
                <c:pt idx="22">
                  <c:v>899.12107023411374</c:v>
                </c:pt>
                <c:pt idx="23">
                  <c:v>851.09816176470588</c:v>
                </c:pt>
                <c:pt idx="24">
                  <c:v>1125.6459558823528</c:v>
                </c:pt>
                <c:pt idx="25">
                  <c:v>466.73124999999999</c:v>
                </c:pt>
                <c:pt idx="26">
                  <c:v>1080.8513157894736</c:v>
                </c:pt>
                <c:pt idx="27">
                  <c:v>1423.5303125</c:v>
                </c:pt>
                <c:pt idx="28">
                  <c:v>1177.9407738095238</c:v>
                </c:pt>
                <c:pt idx="29">
                  <c:v>1301.9345394736843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D-4D75-86BD-3E1E0854316B}"/>
            </c:ext>
          </c:extLst>
        </c:ser>
        <c:ser>
          <c:idx val="3"/>
          <c:order val="3"/>
          <c:tx>
            <c:strRef>
              <c:f>GRAFICAS!$AX$3</c:f>
              <c:strCache>
                <c:ptCount val="1"/>
                <c:pt idx="0">
                  <c:v>INDICADOR $DECOLORANTE/M3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GRAFICAS!$AX$4:$AX$34</c:f>
              <c:numCache>
                <c:formatCode>_-"$"\ * #,##0_-;\-"$"\ * #,##0_-;_-"$"\ * "-"??_-;_-@_-</c:formatCode>
                <c:ptCount val="30"/>
                <c:pt idx="0">
                  <c:v>0</c:v>
                </c:pt>
                <c:pt idx="1">
                  <c:v>804.75852272727275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529.62740384615381</c:v>
                </c:pt>
                <c:pt idx="6">
                  <c:v>875.11584800741423</c:v>
                </c:pt>
                <c:pt idx="7">
                  <c:v>655.72916666666663</c:v>
                </c:pt>
                <c:pt idx="8">
                  <c:v>430.322265625</c:v>
                </c:pt>
                <c:pt idx="9">
                  <c:v>724.75328947368416</c:v>
                </c:pt>
                <c:pt idx="10">
                  <c:v>1437.5600961538462</c:v>
                </c:pt>
                <c:pt idx="11">
                  <c:v>0</c:v>
                </c:pt>
                <c:pt idx="12">
                  <c:v>867.87683823529414</c:v>
                </c:pt>
                <c:pt idx="13">
                  <c:v>737.6953125</c:v>
                </c:pt>
                <c:pt idx="14">
                  <c:v>1180.3125</c:v>
                </c:pt>
                <c:pt idx="15">
                  <c:v>983.59375</c:v>
                </c:pt>
                <c:pt idx="16">
                  <c:v>1366.1024305555557</c:v>
                </c:pt>
                <c:pt idx="17">
                  <c:v>1428.5528273809523</c:v>
                </c:pt>
                <c:pt idx="18">
                  <c:v>0</c:v>
                </c:pt>
                <c:pt idx="19">
                  <c:v>860.64453125</c:v>
                </c:pt>
                <c:pt idx="20">
                  <c:v>1099.3106617647059</c:v>
                </c:pt>
                <c:pt idx="21">
                  <c:v>1501.2746710526317</c:v>
                </c:pt>
                <c:pt idx="22">
                  <c:v>789.50668896321065</c:v>
                </c:pt>
                <c:pt idx="23">
                  <c:v>867.87683823529414</c:v>
                </c:pt>
                <c:pt idx="24">
                  <c:v>810.01838235294122</c:v>
                </c:pt>
                <c:pt idx="25">
                  <c:v>295.078125</c:v>
                </c:pt>
                <c:pt idx="26">
                  <c:v>724.75328947368416</c:v>
                </c:pt>
                <c:pt idx="27">
                  <c:v>885.234375</c:v>
                </c:pt>
                <c:pt idx="28">
                  <c:v>1170.9449404761904</c:v>
                </c:pt>
                <c:pt idx="29">
                  <c:v>828.28947368421052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D-4D75-86BD-3E1E0854316B}"/>
            </c:ext>
          </c:extLst>
        </c:ser>
        <c:ser>
          <c:idx val="4"/>
          <c:order val="4"/>
          <c:tx>
            <c:strRef>
              <c:f>GRAFICAS!$AY$3</c:f>
              <c:strCache>
                <c:ptCount val="1"/>
                <c:pt idx="0">
                  <c:v>INDICADOR $POL ANIONICO/ M3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GRAFICAS!$AY$4:$AY$34</c:f>
              <c:numCache>
                <c:formatCode>_-"$"\ * #,##0_-;\-"$"\ * #,##0_-;_-"$"\ * "-"??_-;_-@_-</c:formatCode>
                <c:ptCount val="30"/>
                <c:pt idx="0">
                  <c:v>0</c:v>
                </c:pt>
                <c:pt idx="1">
                  <c:v>216.47727272727272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91.586538461538467</c:v>
                </c:pt>
                <c:pt idx="6">
                  <c:v>88.276181649675621</c:v>
                </c:pt>
                <c:pt idx="7">
                  <c:v>79.375</c:v>
                </c:pt>
                <c:pt idx="8">
                  <c:v>148.828125</c:v>
                </c:pt>
                <c:pt idx="9">
                  <c:v>125.32894736842105</c:v>
                </c:pt>
                <c:pt idx="10">
                  <c:v>0</c:v>
                </c:pt>
                <c:pt idx="11">
                  <c:v>0</c:v>
                </c:pt>
                <c:pt idx="12">
                  <c:v>70.036764705882348</c:v>
                </c:pt>
                <c:pt idx="13">
                  <c:v>223.2421875</c:v>
                </c:pt>
                <c:pt idx="14">
                  <c:v>79.375</c:v>
                </c:pt>
                <c:pt idx="15">
                  <c:v>119.0625</c:v>
                </c:pt>
                <c:pt idx="16">
                  <c:v>66.145833333333329</c:v>
                </c:pt>
                <c:pt idx="17">
                  <c:v>56.696428571428569</c:v>
                </c:pt>
                <c:pt idx="18">
                  <c:v>0</c:v>
                </c:pt>
                <c:pt idx="19">
                  <c:v>59.53125</c:v>
                </c:pt>
                <c:pt idx="20">
                  <c:v>140.0735294117647</c:v>
                </c:pt>
                <c:pt idx="21">
                  <c:v>125.32894736842105</c:v>
                </c:pt>
                <c:pt idx="22">
                  <c:v>127.4247491638796</c:v>
                </c:pt>
                <c:pt idx="23">
                  <c:v>70.036764705882348</c:v>
                </c:pt>
                <c:pt idx="24">
                  <c:v>70.036764705882348</c:v>
                </c:pt>
                <c:pt idx="25">
                  <c:v>119.0625</c:v>
                </c:pt>
                <c:pt idx="26">
                  <c:v>187.99342105263159</c:v>
                </c:pt>
                <c:pt idx="27">
                  <c:v>119.0625</c:v>
                </c:pt>
                <c:pt idx="28">
                  <c:v>170.08928571428572</c:v>
                </c:pt>
                <c:pt idx="29">
                  <c:v>187.99342105263159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ED-4D75-86BD-3E1E0854316B}"/>
            </c:ext>
          </c:extLst>
        </c:ser>
        <c:ser>
          <c:idx val="5"/>
          <c:order val="5"/>
          <c:tx>
            <c:strRef>
              <c:f>GRAFICAS!$AZ$3</c:f>
              <c:strCache>
                <c:ptCount val="1"/>
                <c:pt idx="0">
                  <c:v> INDICADOR $POL CATIONICO / M3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GRAFICAS!$AZ$4:$AZ$34</c:f>
              <c:numCache>
                <c:formatCode>_-"$"\ * #,##0_-;\-"$"\ * #,##0_-;_-"$"\ * "-"??_-;_-@_-</c:formatCode>
                <c:ptCount val="30"/>
                <c:pt idx="0">
                  <c:v>0</c:v>
                </c:pt>
                <c:pt idx="1">
                  <c:v>250.56818181818181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318.02884615384613</c:v>
                </c:pt>
                <c:pt idx="6">
                  <c:v>204.35588507877665</c:v>
                </c:pt>
                <c:pt idx="7">
                  <c:v>183.75</c:v>
                </c:pt>
                <c:pt idx="8">
                  <c:v>258.3984375</c:v>
                </c:pt>
                <c:pt idx="9">
                  <c:v>217.59868421052633</c:v>
                </c:pt>
                <c:pt idx="10">
                  <c:v>212.01923076923077</c:v>
                </c:pt>
                <c:pt idx="11">
                  <c:v>0</c:v>
                </c:pt>
                <c:pt idx="12">
                  <c:v>324.26470588235293</c:v>
                </c:pt>
                <c:pt idx="13">
                  <c:v>344.53125</c:v>
                </c:pt>
                <c:pt idx="14">
                  <c:v>367.5</c:v>
                </c:pt>
                <c:pt idx="15">
                  <c:v>137.8125</c:v>
                </c:pt>
                <c:pt idx="16">
                  <c:v>229.6875</c:v>
                </c:pt>
                <c:pt idx="17">
                  <c:v>196.875</c:v>
                </c:pt>
                <c:pt idx="18">
                  <c:v>0</c:v>
                </c:pt>
                <c:pt idx="19">
                  <c:v>206.71875</c:v>
                </c:pt>
                <c:pt idx="20">
                  <c:v>243.1985294117647</c:v>
                </c:pt>
                <c:pt idx="21">
                  <c:v>217.59868421052633</c:v>
                </c:pt>
                <c:pt idx="22">
                  <c:v>294.98327759197326</c:v>
                </c:pt>
                <c:pt idx="23">
                  <c:v>81.066176470588232</c:v>
                </c:pt>
                <c:pt idx="24">
                  <c:v>243.1985294117647</c:v>
                </c:pt>
                <c:pt idx="25">
                  <c:v>275.625</c:v>
                </c:pt>
                <c:pt idx="26">
                  <c:v>290.13157894736844</c:v>
                </c:pt>
                <c:pt idx="27">
                  <c:v>137.8125</c:v>
                </c:pt>
                <c:pt idx="28">
                  <c:v>196.875</c:v>
                </c:pt>
                <c:pt idx="29">
                  <c:v>217.59868421052633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281302111"/>
        <c:axId val="1281302591"/>
      </c:barChart>
      <c:lineChart>
        <c:grouping val="standard"/>
        <c:varyColors val="0"/>
        <c:ser>
          <c:idx val="0"/>
          <c:order val="0"/>
          <c:tx>
            <c:strRef>
              <c:f>GRAFICAS!$AU$3</c:f>
              <c:strCache>
                <c:ptCount val="1"/>
                <c:pt idx="0">
                  <c:v>INDICADOR $m3 </c:v>
                </c:pt>
              </c:strCache>
            </c:strRef>
          </c:tx>
          <c:spPr>
            <a:ln w="28575" cap="rnd">
              <a:solidFill>
                <a:schemeClr val="accent6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GRAFICAS!$AT$4:$AT$34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GRAFICAS!$AU$4:$AU$34</c:f>
              <c:numCache>
                <c:formatCode>_-"$"\ * #,##0_-;\-"$"\ * #,##0_-;_-"$"\ * "-"??_-;_-@_-</c:formatCode>
                <c:ptCount val="30"/>
                <c:pt idx="0">
                  <c:v>0</c:v>
                </c:pt>
                <c:pt idx="1">
                  <c:v>2001.6698863636364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2638.6711538461536</c:v>
                </c:pt>
                <c:pt idx="6">
                  <c:v>2771.1464318813714</c:v>
                </c:pt>
                <c:pt idx="7">
                  <c:v>2309.4699999999998</c:v>
                </c:pt>
                <c:pt idx="8">
                  <c:v>1812.61015625</c:v>
                </c:pt>
                <c:pt idx="9">
                  <c:v>2241.3763157894737</c:v>
                </c:pt>
                <c:pt idx="10">
                  <c:v>3164.7182692307692</c:v>
                </c:pt>
                <c:pt idx="11">
                  <c:v>0</c:v>
                </c:pt>
                <c:pt idx="12">
                  <c:v>2363.5055147058824</c:v>
                </c:pt>
                <c:pt idx="13">
                  <c:v>3136.7925781250001</c:v>
                </c:pt>
                <c:pt idx="14">
                  <c:v>2896.0604166666667</c:v>
                </c:pt>
                <c:pt idx="15">
                  <c:v>2646.4334374999999</c:v>
                </c:pt>
                <c:pt idx="16">
                  <c:v>3481.7406249999999</c:v>
                </c:pt>
                <c:pt idx="17">
                  <c:v>3085.6183035714284</c:v>
                </c:pt>
                <c:pt idx="18">
                  <c:v>0</c:v>
                </c:pt>
                <c:pt idx="19">
                  <c:v>2180.94484375</c:v>
                </c:pt>
                <c:pt idx="20">
                  <c:v>2748.0113970588236</c:v>
                </c:pt>
                <c:pt idx="21">
                  <c:v>3660.9736842105262</c:v>
                </c:pt>
                <c:pt idx="22">
                  <c:v>2341.9923076923078</c:v>
                </c:pt>
                <c:pt idx="23">
                  <c:v>2116.0264705882355</c:v>
                </c:pt>
                <c:pt idx="24">
                  <c:v>2486.9143382352941</c:v>
                </c:pt>
                <c:pt idx="25">
                  <c:v>1466.7093749999999</c:v>
                </c:pt>
                <c:pt idx="26">
                  <c:v>2624.4664473684211</c:v>
                </c:pt>
                <c:pt idx="27">
                  <c:v>2916.3146875000002</c:v>
                </c:pt>
                <c:pt idx="28">
                  <c:v>2882.8380952380953</c:v>
                </c:pt>
                <c:pt idx="29">
                  <c:v>2777.1713815789471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ED-4D75-86BD-3E1E085431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1302111"/>
        <c:axId val="1281302591"/>
      </c:lineChart>
      <c:catAx>
        <c:axId val="128130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591"/>
        <c:crosses val="autoZero"/>
        <c:auto val="1"/>
        <c:lblAlgn val="ctr"/>
        <c:lblOffset val="100"/>
        <c:noMultiLvlLbl val="0"/>
      </c:catAx>
      <c:valAx>
        <c:axId val="128130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8130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606349</xdr:colOff>
      <xdr:row>2</xdr:row>
      <xdr:rowOff>216289</xdr:rowOff>
    </xdr:from>
    <xdr:to>
      <xdr:col>15</xdr:col>
      <xdr:colOff>234131</xdr:colOff>
      <xdr:row>16</xdr:row>
      <xdr:rowOff>158252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172011</xdr:colOff>
      <xdr:row>3</xdr:row>
      <xdr:rowOff>233788</xdr:rowOff>
    </xdr:from>
    <xdr:to>
      <xdr:col>1</xdr:col>
      <xdr:colOff>556128</xdr:colOff>
      <xdr:row>12</xdr:row>
      <xdr:rowOff>18236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2011" y="1191731"/>
              <a:ext cx="1821031" cy="27296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785751</xdr:colOff>
      <xdr:row>19</xdr:row>
      <xdr:rowOff>161262</xdr:rowOff>
    </xdr:from>
    <xdr:to>
      <xdr:col>15</xdr:col>
      <xdr:colOff>443347</xdr:colOff>
      <xdr:row>40</xdr:row>
      <xdr:rowOff>10886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45522</xdr:colOff>
      <xdr:row>25</xdr:row>
      <xdr:rowOff>160070</xdr:rowOff>
    </xdr:from>
    <xdr:to>
      <xdr:col>1</xdr:col>
      <xdr:colOff>439164</xdr:colOff>
      <xdr:row>34</xdr:row>
      <xdr:rowOff>19818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2" y="7486156"/>
              <a:ext cx="1830556" cy="24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816678</xdr:colOff>
      <xdr:row>30</xdr:row>
      <xdr:rowOff>179367</xdr:rowOff>
    </xdr:from>
    <xdr:to>
      <xdr:col>3</xdr:col>
      <xdr:colOff>56162</xdr:colOff>
      <xdr:row>31</xdr:row>
      <xdr:rowOff>179367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3698423" y="8118022"/>
          <a:ext cx="680357" cy="1801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15</xdr:col>
      <xdr:colOff>595745</xdr:colOff>
      <xdr:row>2</xdr:row>
      <xdr:rowOff>219941</xdr:rowOff>
    </xdr:from>
    <xdr:to>
      <xdr:col>23</xdr:col>
      <xdr:colOff>948763</xdr:colOff>
      <xdr:row>16</xdr:row>
      <xdr:rowOff>161904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D415EE2-C4D1-4267-8BDC-C9E3FAE4C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616528</xdr:colOff>
      <xdr:row>19</xdr:row>
      <xdr:rowOff>166255</xdr:rowOff>
    </xdr:from>
    <xdr:to>
      <xdr:col>23</xdr:col>
      <xdr:colOff>914400</xdr:colOff>
      <xdr:row>40</xdr:row>
      <xdr:rowOff>55418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45D8E2-0636-E962-1087-6151E269D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478675</xdr:colOff>
      <xdr:row>3</xdr:row>
      <xdr:rowOff>35329</xdr:rowOff>
    </xdr:from>
    <xdr:to>
      <xdr:col>34</xdr:col>
      <xdr:colOff>187729</xdr:colOff>
      <xdr:row>11</xdr:row>
      <xdr:rowOff>34464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1">
              <a:extLst>
                <a:ext uri="{FF2B5EF4-FFF2-40B4-BE49-F238E27FC236}">
                  <a16:creationId xmlns:a16="http://schemas.microsoft.com/office/drawing/2014/main" id="{AE67D4CD-66D2-6084-32BC-216E36EAF0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23220" y="99129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0.06937</cdr:x>
      <cdr:y>0.5832</cdr:y>
    </cdr:from>
    <cdr:to>
      <cdr:x>0.13286</cdr:x>
      <cdr:y>0.64113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369589" y="1851662"/>
          <a:ext cx="1253583" cy="183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$3.599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161925</xdr:rowOff>
    </xdr:from>
    <xdr:to>
      <xdr:col>14</xdr:col>
      <xdr:colOff>361950</xdr:colOff>
      <xdr:row>20</xdr:row>
      <xdr:rowOff>55067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79384C-F28C-A940-E456-4C905C64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102221</xdr:colOff>
      <xdr:row>20</xdr:row>
      <xdr:rowOff>156065</xdr:rowOff>
    </xdr:from>
    <xdr:to>
      <xdr:col>14</xdr:col>
      <xdr:colOff>357714</xdr:colOff>
      <xdr:row>37</xdr:row>
      <xdr:rowOff>65808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D3D6F98-0F18-E56A-A055-3BB5ADDA1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120731</xdr:colOff>
      <xdr:row>38</xdr:row>
      <xdr:rowOff>14843</xdr:rowOff>
    </xdr:from>
    <xdr:to>
      <xdr:col>14</xdr:col>
      <xdr:colOff>363187</xdr:colOff>
      <xdr:row>57</xdr:row>
      <xdr:rowOff>98757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3F56E2-85DA-6F19-7DDB-227336D97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74839</xdr:colOff>
      <xdr:row>36</xdr:row>
      <xdr:rowOff>183697</xdr:rowOff>
    </xdr:from>
    <xdr:to>
      <xdr:col>22</xdr:col>
      <xdr:colOff>782366</xdr:colOff>
      <xdr:row>49</xdr:row>
      <xdr:rowOff>154034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IA">
              <a:extLst>
                <a:ext uri="{FF2B5EF4-FFF2-40B4-BE49-F238E27FC236}">
                  <a16:creationId xmlns:a16="http://schemas.microsoft.com/office/drawing/2014/main" id="{9CD43253-6C5E-5C96-F74F-5108852ADA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35925" y="7390040"/>
              <a:ext cx="1836864" cy="2476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110835</xdr:colOff>
      <xdr:row>58</xdr:row>
      <xdr:rowOff>27709</xdr:rowOff>
    </xdr:from>
    <xdr:to>
      <xdr:col>14</xdr:col>
      <xdr:colOff>354544</xdr:colOff>
      <xdr:row>78</xdr:row>
      <xdr:rowOff>25526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05EE5-A324-40FF-AC05-C3A0CAA00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86</xdr:row>
      <xdr:rowOff>114300</xdr:rowOff>
    </xdr:from>
    <xdr:to>
      <xdr:col>13</xdr:col>
      <xdr:colOff>354334</xdr:colOff>
      <xdr:row>102</xdr:row>
      <xdr:rowOff>68221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4286E-372C-B052-D4DE-91A91140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4310360"/>
          <a:ext cx="10389874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30481</xdr:colOff>
      <xdr:row>25</xdr:row>
      <xdr:rowOff>53340</xdr:rowOff>
    </xdr:from>
    <xdr:to>
      <xdr:col>10</xdr:col>
      <xdr:colOff>170256</xdr:colOff>
      <xdr:row>66</xdr:row>
      <xdr:rowOff>115259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C5D5E83-584F-B29B-4540-D7C7455C5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1" y="716280"/>
          <a:ext cx="8064575" cy="756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292249</xdr:colOff>
      <xdr:row>26</xdr:row>
      <xdr:rowOff>8965</xdr:rowOff>
    </xdr:from>
    <xdr:to>
      <xdr:col>13</xdr:col>
      <xdr:colOff>641020</xdr:colOff>
      <xdr:row>50</xdr:row>
      <xdr:rowOff>173018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F03578E-7EC5-26AA-B41F-3481144D0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190" y="842683"/>
          <a:ext cx="2715454" cy="446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381001</xdr:colOff>
      <xdr:row>68</xdr:row>
      <xdr:rowOff>121920</xdr:rowOff>
    </xdr:from>
    <xdr:to>
      <xdr:col>13</xdr:col>
      <xdr:colOff>207222</xdr:colOff>
      <xdr:row>84</xdr:row>
      <xdr:rowOff>75840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859E55-BE50-3302-06AF-E5B1186E3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1" y="11026140"/>
          <a:ext cx="10128461" cy="28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76200</xdr:rowOff>
    </xdr:from>
    <xdr:to>
      <xdr:col>13</xdr:col>
      <xdr:colOff>652406</xdr:colOff>
      <xdr:row>115</xdr:row>
      <xdr:rowOff>71718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C2C4D51-4794-A26B-F396-4380162F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259800"/>
          <a:ext cx="10908030" cy="3052482"/>
        </a:xfrm>
        <a:prstGeom prst="rect">
          <a:avLst/>
        </a:prstGeom>
      </xdr:spPr>
    </xdr:pic>
    <xdr:clientData/>
  </xdr:twoCellAnchor>
  <xdr:twoCellAnchor editAs="oneCell">
    <xdr:from>
      <xdr:col>2</xdr:col>
      <xdr:colOff>260425</xdr:colOff>
      <xdr:row>115</xdr:row>
      <xdr:rowOff>149262</xdr:rowOff>
    </xdr:from>
    <xdr:to>
      <xdr:col>11</xdr:col>
      <xdr:colOff>597845</xdr:colOff>
      <xdr:row>118</xdr:row>
      <xdr:rowOff>259976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C43824A-551E-4872-0C44-5A37D7B1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213" y="23394744"/>
          <a:ext cx="7437467" cy="944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690284</xdr:colOff>
      <xdr:row>9</xdr:row>
      <xdr:rowOff>35859</xdr:rowOff>
    </xdr:from>
    <xdr:to>
      <xdr:col>13</xdr:col>
      <xdr:colOff>98611</xdr:colOff>
      <xdr:row>11</xdr:row>
      <xdr:rowOff>82880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DD8705-8870-5231-BF02-83B6F9D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1437" y="2142565"/>
          <a:ext cx="3352798" cy="5131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537882</xdr:colOff>
      <xdr:row>9</xdr:row>
      <xdr:rowOff>53784</xdr:rowOff>
    </xdr:from>
    <xdr:to>
      <xdr:col>6</xdr:col>
      <xdr:colOff>210240</xdr:colOff>
      <xdr:row>11</xdr:row>
      <xdr:rowOff>143434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B527AEA-890C-F649-6C6F-3C896CDA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15670" y="2160490"/>
          <a:ext cx="2827935" cy="555815"/>
        </a:xfrm>
        <a:prstGeom prst="rect">
          <a:avLst/>
        </a:prstGeom>
      </xdr:spPr>
    </xdr:pic>
    <xdr:clientData/>
  </xdr:twoCellAnchor>
  <xdr:twoCellAnchor editAs="oneCell">
    <xdr:from>
      <xdr:col>0</xdr:col>
      <xdr:colOff>62752</xdr:colOff>
      <xdr:row>2</xdr:row>
      <xdr:rowOff>170330</xdr:rowOff>
    </xdr:from>
    <xdr:to>
      <xdr:col>13</xdr:col>
      <xdr:colOff>540558</xdr:colOff>
      <xdr:row>8</xdr:row>
      <xdr:rowOff>211835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122DA9F-E192-A69C-E794-DE42FE5FF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752" y="645459"/>
          <a:ext cx="10733430" cy="14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179295</xdr:colOff>
      <xdr:row>13</xdr:row>
      <xdr:rowOff>116541</xdr:rowOff>
    </xdr:from>
    <xdr:to>
      <xdr:col>13</xdr:col>
      <xdr:colOff>326327</xdr:colOff>
      <xdr:row>18</xdr:row>
      <xdr:rowOff>256658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D917EBF-72B0-9C00-AEC3-74716E3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9295" y="3182470"/>
          <a:ext cx="10402656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466165</xdr:colOff>
      <xdr:row>19</xdr:row>
      <xdr:rowOff>152400</xdr:rowOff>
    </xdr:from>
    <xdr:to>
      <xdr:col>6</xdr:col>
      <xdr:colOff>582705</xdr:colOff>
      <xdr:row>21</xdr:row>
      <xdr:rowOff>244507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F82A822-91A5-6BF3-2AD7-7DD9463A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3953" y="4778188"/>
          <a:ext cx="3272117" cy="61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555812</xdr:colOff>
      <xdr:row>19</xdr:row>
      <xdr:rowOff>233082</xdr:rowOff>
    </xdr:from>
    <xdr:to>
      <xdr:col>12</xdr:col>
      <xdr:colOff>726142</xdr:colOff>
      <xdr:row>21</xdr:row>
      <xdr:rowOff>253187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CDEE7B-585C-3D98-647D-D4B1CC075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965" y="4858870"/>
          <a:ext cx="3325906" cy="54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naop\Downloads\PROYECCI&#211;N%20COSTOS%202026%20-%20PTAR%20-%20PTAP%20BOGOTA%20-%20PAYBACK%20Y%20CF%20anual%20(2).xlsx" TargetMode="External"/><Relationship Id="rId1" Type="http://schemas.openxmlformats.org/officeDocument/2006/relationships/externalLinkPath" Target="file:///C:\Users\lunaop\Downloads\PROYECCI&#211;N%20COSTOS%202026%20-%20PTAR%20-%20PTAP%20BOGOTA%20-%20PAYBACK%20Y%20CF%20anua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costos Ptar Bogotá"/>
      <sheetName val="PROYEC COSTO M3 PERMODA BOGOTA"/>
      <sheetName val="PLAN MAESTRO BOGOTA RECIRCU"/>
      <sheetName val="PROYECCIÓN INSUMOS QUÍMICO"/>
      <sheetName val="PROYECCIÓN RESIDUO Y LODOS PTAR"/>
      <sheetName val="PROYECCIÓN CONSUMIBLES PTAR"/>
      <sheetName val="PROYECCIÓN CALIBR-MANTE PTAR"/>
      <sheetName val="PROYECCIÓN NOMINA PTAR"/>
      <sheetName val="PROYECCIÓN ELECTRICIDAD PTAR"/>
      <sheetName val="PROYECCIÓN DEPRECIACIÓN PTAR"/>
      <sheetName val="PROYECCIÓN PAGO USO POZO"/>
    </sheetNames>
    <sheetDataSet>
      <sheetData sheetId="0"/>
      <sheetData sheetId="1"/>
      <sheetData sheetId="2">
        <row r="5">
          <cell r="L5">
            <v>28996.038995013121</v>
          </cell>
          <cell r="N5">
            <v>31421.600339636221</v>
          </cell>
          <cell r="P5">
            <v>34249.300539058881</v>
          </cell>
          <cell r="R5">
            <v>40509.091493235203</v>
          </cell>
          <cell r="T5">
            <v>40285.49200255872</v>
          </cell>
          <cell r="V5">
            <v>43482.436859595713</v>
          </cell>
          <cell r="X5">
            <v>40858.186350272197</v>
          </cell>
          <cell r="Z5">
            <v>26685.67577546708</v>
          </cell>
          <cell r="AB5">
            <v>13422.465444558526</v>
          </cell>
        </row>
        <row r="9">
          <cell r="J9">
            <v>5274.6748307809175</v>
          </cell>
          <cell r="L9">
            <v>6028.2765070632277</v>
          </cell>
          <cell r="N9">
            <v>10800</v>
          </cell>
          <cell r="P9">
            <v>10800</v>
          </cell>
          <cell r="R9">
            <v>10800</v>
          </cell>
          <cell r="T9">
            <v>10800</v>
          </cell>
          <cell r="V9">
            <v>10800</v>
          </cell>
          <cell r="X9">
            <v>10800</v>
          </cell>
          <cell r="Z9">
            <v>10800</v>
          </cell>
          <cell r="AB9">
            <v>10800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54.324353356482" createdVersion="8" refreshedVersion="8" minRefreshableVersion="3" recordCount="94" xr:uid="{B88EE19A-5615-4F82-AE52-3176984C19D2}">
  <cacheSource type="worksheet">
    <worksheetSource name="Tabla2"/>
  </cacheSource>
  <cacheFields count="63">
    <cacheField name="FECHA" numFmtId="14">
      <sharedItems containsNonDate="0" containsDate="1" containsString="0" containsBlank="1" minDate="2024-09-01T00:00:00" maxDate="2026-05-02T00:00:00" count="400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2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0"/>
        <n v="31" u="1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MixedTypes="1" containsNumber="1" minValue="0" maxValue="9.8088536585365862"/>
    </cacheField>
    <cacheField name="VOLUMEN ENVIADO A RO (m3)" numFmtId="1">
      <sharedItems containsString="0" containsBlank="1" containsNumber="1" minValue="0" maxValue="402.16300000000001"/>
    </cacheField>
    <cacheField name="Q DE OPERACIÓN (m3/h)" numFmtId="0">
      <sharedItems containsString="0" containsBlank="1" containsNumber="1" containsInteger="1" minValue="0" maxValue="44"/>
    </cacheField>
    <cacheField name="cm HCL (10%)" numFmtId="0">
      <sharedItems containsString="0" containsBlank="1" containsNumber="1" containsInteger="1" minValue="0" maxValue="0"/>
    </cacheField>
    <cacheField name="cm IK-220 (Biocida)" numFmtId="0">
      <sharedItems containsString="0" containsBlank="1" containsNumber="1" containsInteger="1" minValue="0" maxValue="0"/>
    </cacheField>
    <cacheField name="cm Vitec 7000/4000" numFmtId="0">
      <sharedItems containsSemiMixedTypes="0" containsString="0" containsNumber="1" containsInteger="1" minValue="0" maxValue="0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tring="0" containsBlank="1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containsInteger="1" minValue="0" maxValue="0"/>
    </cacheField>
    <cacheField name="(INV -L) - VITEC 7000 (Antiincrustante)" numFmtId="1">
      <sharedItems containsSemiMixedTypes="0" containsString="0" containsNumber="1" containsInteger="1" minValue="0" maxValue="0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containsInteger="1" minValue="0" maxValue="0"/>
    </cacheField>
    <cacheField name="CONSUMO (L) VITEC 7000 (Antiincrustante)" numFmtId="1">
      <sharedItems containsSemiMixedTypes="0" containsString="0" containsNumber="1" containsInteger="1" minValue="0" maxValue="0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containsInteger="1" minValue="0" maxValue="0"/>
    </cacheField>
    <cacheField name="CONSUMO (Kg) VITEC 7000 (Antiincrustante)" numFmtId="1">
      <sharedItems containsSemiMixedTypes="0" containsString="0" containsNumber="1" containsInteger="1" minValue="0" maxValue="0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containsInteger="1" minValue="0" maxValue="0"/>
    </cacheField>
    <cacheField name="PPM  VITEC 7000 (Antiincrustante)" numFmtId="1">
      <sharedItems containsMixedTypes="1" containsNumber="1" containsInteger="1" minValue="0" maxValue="0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650" maxValue="16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298" maxValue="1298"/>
    </cacheField>
    <cacheField name="PRECIO Bisulfito de sodio " numFmtId="42">
      <sharedItems containsSemiMixedTypes="0" containsString="0" containsNumber="1" containsInteger="1" minValue="4200" maxValue="4200"/>
    </cacheField>
    <cacheField name="COSTO OPERATIVO HCL (10%)" numFmtId="42">
      <sharedItems containsSemiMixedTypes="0" containsString="0" containsNumber="1" containsInteger="1" minValue="0" maxValue="0"/>
    </cacheField>
    <cacheField name="COSTO OPERATIVO KURIVERTER IK-220 (Biocida)" numFmtId="42">
      <sharedItems containsSemiMixedTypes="0" containsString="0" containsNumber="1" containsInteger="1" minValue="0" maxValue="0"/>
    </cacheField>
    <cacheField name="COSTO OPERATIVO VITEC 7000 (Antiincrustante)" numFmtId="42">
      <sharedItems containsSemiMixedTypes="0" containsString="0" containsNumber="1" containsInteger="1" minValue="0" maxValue="0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minValue="0" maxValue="42227.115000000005"/>
    </cacheField>
    <cacheField name="COSTO QUIMICA " numFmtId="42">
      <sharedItems containsSemiMixedTypes="0" containsString="0" containsNumber="1" minValue="0" maxValue="42227.115000000005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105" maxValue="105.00000000000001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4-01T00:00:00" endDate="2026-05-02T00:00:00"/>
        <groupItems count="14">
          <s v="&lt;1/04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05/2026"/>
        </groupItems>
      </fieldGroup>
    </cacheField>
    <cacheField name="Trimestres (FECHA)" numFmtId="0" databaseField="0">
      <fieldGroup base="0">
        <rangePr groupBy="quarters" startDate="2026-04-01T00:00:00" endDate="2026-05-02T00:00:00"/>
        <groupItems count="6">
          <s v="&lt;1/04/2026"/>
          <s v="Trim.1"/>
          <s v="Trim.2"/>
          <s v="Trim.3"/>
          <s v="Trim.4"/>
          <s v="&gt;2/05/2026"/>
        </groupItems>
      </fieldGroup>
    </cacheField>
    <cacheField name="Años (FECHA)" numFmtId="0" databaseField="0">
      <fieldGroup base="0">
        <rangePr groupBy="years" startDate="2026-04-01T00:00:00" endDate="2026-05-02T00:00:00"/>
        <groupItems count="3">
          <s v="&lt;1/04/2026"/>
          <s v="2026"/>
          <s v="&gt;2/05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54.324354282406" createdVersion="8" refreshedVersion="8" minRefreshableVersion="3" recordCount="95" xr:uid="{C3C8AE66-DB41-4ED1-9375-F4773019D99D}">
  <cacheSource type="worksheet">
    <worksheetSource name="Tabla1"/>
  </cacheSource>
  <cacheFields count="60">
    <cacheField name="FECHA" numFmtId="0">
      <sharedItems containsNonDate="0" containsDate="1" containsString="0" containsBlank="1" minDate="2024-09-01T00:00:00" maxDate="2026-05-02T00:00:00" count="548"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m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3">
      <sharedItems containsString="0" containsBlank="1" containsNumber="1" containsInteger="1" minValue="1400" maxValue="4300"/>
    </cacheField>
    <cacheField name="FINAL COAGULANTE (L)" numFmtId="3">
      <sharedItems containsString="0" containsBlank="1" containsNumber="1" containsInteger="1" minValue="3180" maxValue="9490"/>
    </cacheField>
    <cacheField name="FINAL DECOLORANTE (L)" numFmtId="3">
      <sharedItems containsString="0" containsBlank="1" containsNumber="1" containsInteger="1" minValue="1440" maxValue="4930"/>
    </cacheField>
    <cacheField name="FINAL POL ANIONICO (KG)" numFmtId="3">
      <sharedItems containsString="0" containsBlank="1" containsNumber="1" containsInteger="1" minValue="80" maxValue="275"/>
    </cacheField>
    <cacheField name="FINAL POL CATIONICO (KG)" numFmtId="3">
      <sharedItems containsString="0" containsBlank="1" containsNumber="1" containsInteger="1" minValue="95" maxValue="450"/>
    </cacheField>
    <cacheField name="Lectura Horometro INICIAL (06:00)" numFmtId="3">
      <sharedItems containsString="0" containsBlank="1" containsNumber="1" containsInteger="1" minValue="17622" maxValue="18025"/>
    </cacheField>
    <cacheField name="CAUDAL TOTAL TRATADO GEM " numFmtId="3">
      <sharedItems containsSemiMixedTypes="0" containsString="0" containsNumber="1" containsInteger="1" minValue="-1442000" maxValue="640"/>
    </cacheField>
    <cacheField name="CAUDAL DE TRATAMIENTO" numFmtId="3">
      <sharedItems containsString="0" containsBlank="1" containsNumber="1" containsInteger="1" minValue="80" maxValue="90"/>
    </cacheField>
    <cacheField name="CONSUMO LITROS ACIDO (L)" numFmtId="3">
      <sharedItems containsSemiMixedTypes="0" containsString="0" containsNumber="1" containsInteger="1" minValue="-2160" maxValue="1400"/>
    </cacheField>
    <cacheField name="CONSUMO LITROS COAGULANTE (L)" numFmtId="3">
      <sharedItems containsString="0" containsBlank="1" containsNumber="1" containsInteger="1" minValue="0" maxValue="3180"/>
    </cacheField>
    <cacheField name="CONSUMO LITROS DECOLORANTE (L)" numFmtId="3">
      <sharedItems containsString="0" containsBlank="1" containsNumber="1" containsInteger="1" minValue="0" maxValue="1440"/>
    </cacheField>
    <cacheField name="CONSUMO POL ANIONICO (KG)" numFmtId="3">
      <sharedItems containsSemiMixedTypes="0" containsString="0" containsNumber="1" containsInteger="1" minValue="-205" maxValue="80"/>
    </cacheField>
    <cacheField name="CONSUMO POL CATIONICO (KG)" numFmtId="3">
      <sharedItems containsString="0" containsBlank="1" containsNumber="1" containsInteger="1" minValue="0" maxValue="95"/>
    </cacheField>
    <cacheField name="KG ACIDO" numFmtId="3">
      <sharedItems containsSemiMixedTypes="0" containsString="0" containsNumber="1" minValue="-2808" maxValue="1820"/>
    </cacheField>
    <cacheField name="KG COAGULANTE" numFmtId="3">
      <sharedItems containsSemiMixedTypes="0" containsString="0" containsNumber="1" minValue="0" maxValue="4213.5"/>
    </cacheField>
    <cacheField name="KG DECOLORANTE " numFmtId="3">
      <sharedItems containsSemiMixedTypes="0" containsString="0" containsNumber="1" minValue="0" maxValue="1800"/>
    </cacheField>
    <cacheField name="KG POL ANIONICO " numFmtId="3">
      <sharedItems containsSemiMixedTypes="0" containsString="0" containsNumber="1" containsInteger="1" minValue="-205" maxValue="80"/>
    </cacheField>
    <cacheField name="KG POL CATIONICO " numFmtId="3">
      <sharedItems containsSemiMixedTypes="0" containsString="0" containsNumber="1" containsInteger="1" minValue="0" maxValue="95"/>
    </cacheField>
    <cacheField name="PPM ACIDO " numFmtId="3">
      <sharedItems containsMixedTypes="1" containsNumber="1" minValue="-1.2621359223300972" maxValue="866.66666666666663"/>
    </cacheField>
    <cacheField name="PPM COAGULANTE " numFmtId="3">
      <sharedItems containsMixedTypes="1" containsNumber="1" minValue="-2.9219833564493758" maxValue="910.9375"/>
    </cacheField>
    <cacheField name="PPM DECOLORANTE " numFmtId="3">
      <sharedItems containsMixedTypes="1" containsNumber="1" minValue="-1.248266296809986" maxValue="375"/>
    </cacheField>
    <cacheField name="PPM POL ANIONICO " numFmtId="3">
      <sharedItems containsMixedTypes="1" containsNumber="1" minValue="-5.5478502080443831E-2" maxValue="20.833333333333332"/>
    </cacheField>
    <cacheField name="PPM POL CATIONICO" numFmtId="3">
      <sharedItems containsMixedTypes="1" containsNumber="1" minValue="-6.5880721220527044E-2" maxValue="25"/>
    </cacheField>
    <cacheField name="DENSIDAD ACIDO" numFmtId="169">
      <sharedItems containsString="0" containsBlank="1" containsNumber="1" minValue="1.3" maxValue="1.3"/>
    </cacheField>
    <cacheField name="DENSIDAD COAGULANTE" numFmtId="169">
      <sharedItems containsString="0" containsBlank="1" containsNumber="1" minValue="1.325" maxValue="1.325"/>
    </cacheField>
    <cacheField name="DENSIDAD DECOLORANTE" numFmtId="169">
      <sharedItems containsString="0" containsBlank="1" containsNumber="1" minValue="1.25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30" maxValue="830"/>
    </cacheField>
    <cacheField name="PRECIO (KG) COAGULANTE" numFmtId="165">
      <sharedItems containsString="0" containsBlank="1" containsNumber="1" containsInteger="1" minValue="2818" maxValue="2818"/>
    </cacheField>
    <cacheField name="PRECIO (KG) DECOLORANTE" numFmtId="165">
      <sharedItems containsString="0" containsBlank="1" containsNumber="1" containsInteger="1" minValue="6295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1510600"/>
    </cacheField>
    <cacheField name="COSTO OPERATIVO COAGULANTE" numFmtId="165">
      <sharedItems containsSemiMixedTypes="0" containsString="0" containsNumber="1" minValue="0" maxValue="11873643"/>
    </cacheField>
    <cacheField name="COSTO OPERATIVO DECOLORANTE" numFmtId="165">
      <sharedItems containsSemiMixedTypes="0" containsString="0" containsNumber="1" minValue="0" maxValue="11331000"/>
    </cacheField>
    <cacheField name="COSTO OPERATIVO ANIONICO" numFmtId="165">
      <sharedItems containsSemiMixedTypes="0" containsString="0" containsNumber="1" containsInteger="1" minValue="0" maxValue="1524000"/>
    </cacheField>
    <cacheField name="COSTO OPERATIVO CATIONICO" numFmtId="165">
      <sharedItems containsSemiMixedTypes="0" containsString="0" containsNumber="1" containsInteger="1" minValue="0" maxValue="2094750"/>
    </cacheField>
    <cacheField name="COSTO QUIMICA " numFmtId="165">
      <sharedItems containsSemiMixedTypes="0" containsString="0" containsNumber="1" minValue="0" maxValue="28333993"/>
    </cacheField>
    <cacheField name="LIMITE INDICADOR M3" numFmtId="165">
      <sharedItems containsString="0" containsBlank="1" containsNumber="1" containsInteger="1" minValue="3599" maxValue="3599"/>
    </cacheField>
    <cacheField name="$ m3" numFmtId="165">
      <sharedItems containsMixedTypes="1" containsNumber="1" minValue="-19.649093619972259" maxValue="4751.229166666667"/>
    </cacheField>
    <cacheField name="HORAS DE OPERACIÓN" numFmtId="3">
      <sharedItems containsSemiMixedTypes="0" containsString="0" containsNumber="1" containsInteger="1" minValue="-18025" maxValue="8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CONSUMO LITROS ACIDO (L)'*1000000)/('CAUDAL TOTAL TRATADO GEM '*1000)" databaseField="0"/>
    <cacheField name="COF 235 - PPM COAGULANTE " numFmtId="0" formula="('CONSUMO LITROS COAGULANTE (L)'*1000000)/('CAUDAL TOTAL TRATADO GEM '*1000)" databaseField="0"/>
    <cacheField name="COF 255 - PPM DECOLORANTE" numFmtId="0" formula="('CONSUMO LITROS DECOLORANTE (L)'*1000000)/('CAUDAL TOTAL TRATADO GEM '*1000)" databaseField="0"/>
    <cacheField name="COF 440 - PPM POL ANIONICO" numFmtId="0" formula="('CONSUMO POL ANIONICO (KG)'*250000)/('CAUDAL TOTAL TRATADO GEM '*1000)" databaseField="0"/>
    <cacheField name="COF 494 - PPM POL CATIONICO" numFmtId="0" formula="('KG POL CATIONICO '*250000)/('CAUDAL TOTAL TRATADO GEM '*1000)" databaseField="0"/>
    <cacheField name="2024 $m3 GEM" numFmtId="0" formula="('LIMITE INDICADOR M3'-'LIMITE INDICADOR M3')+3599" databaseField="0"/>
    <cacheField name="INDICADOR $ACIDO/M3" numFmtId="0" formula="'COSTO OPERATIVO ACIDO'/'CAUDAL TOTAL TRATADO GEM '" databaseField="0"/>
    <cacheField name="INDICADOR $COAGULANTE/M3" numFmtId="0" formula="'COSTO OPERATIVO COAGULANTE'/'CAUDAL TOTAL TRATADO GEM '" databaseField="0"/>
    <cacheField name="INDICADOR $DECOLORANTE/M3" numFmtId="0" formula="'COSTO OPERATIVO DECOLORANTE'/'CAUDAL TOTAL TRATADO GEM '" databaseField="0"/>
    <cacheField name="INDICADOR $POL ANIONICO/ M3" numFmtId="0" formula="'COSTO OPERATIVO ANIONICO'/'CAUDAL TOTAL TRATADO GEM '" databaseField="0"/>
    <cacheField name="INDICADOR $POL CATIONICO / M3" numFmtId="0" formula="'COSTO OPERATIVO CATIONICO'/'CAUDAL TOTAL TRATADO GEM 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0"/>
    <x v="0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"/>
    <x v="1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"/>
    <x v="2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"/>
    <x v="3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1 (NOCH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2 (MAÑANA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4"/>
    <x v="4"/>
    <s v="3(TARDE)"/>
    <m/>
    <m/>
    <m/>
    <m/>
    <m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5"/>
    <x v="5"/>
    <s v="1 (NOCHE)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5"/>
    <x v="5"/>
    <s v="2 (MAÑANA)"/>
    <m/>
    <m/>
    <m/>
    <m/>
    <m/>
    <n v="2.5106341463414634"/>
    <n v="102.93600000000001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808.28"/>
    <n v="10808.28"/>
    <n v="1000"/>
    <n v="105"/>
  </r>
  <r>
    <x v="5"/>
    <x v="5"/>
    <s v="3(TARDE)"/>
    <m/>
    <m/>
    <m/>
    <m/>
    <m/>
    <n v="6.8009047619047616"/>
    <n v="285.63799999999998"/>
    <n v="42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991.99"/>
    <n v="29991.99"/>
    <n v="1000"/>
    <n v="105.00000000000001"/>
  </r>
  <r>
    <x v="6"/>
    <x v="6"/>
    <s v="1 (NOCHE)"/>
    <m/>
    <m/>
    <m/>
    <m/>
    <m/>
    <n v="8.2798292682926835"/>
    <n v="339.47300000000001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644.665000000008"/>
    <n v="35644.665000000008"/>
    <n v="1000"/>
    <n v="105.00000000000001"/>
  </r>
  <r>
    <x v="6"/>
    <x v="6"/>
    <s v="2 (MAÑANA)"/>
    <m/>
    <m/>
    <m/>
    <m/>
    <m/>
    <n v="8.4659000000000013"/>
    <n v="338.63600000000002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556.780000000006"/>
    <n v="35556.780000000006"/>
    <n v="1000"/>
    <n v="105.00000000000001"/>
  </r>
  <r>
    <x v="6"/>
    <x v="6"/>
    <s v="3(TARDE)"/>
    <m/>
    <m/>
    <m/>
    <m/>
    <m/>
    <n v="7.8330512820512812"/>
    <n v="305.48899999999998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76.345000000001"/>
    <n v="32076.345000000001"/>
    <n v="1000"/>
    <n v="105.00000000000001"/>
  </r>
  <r>
    <x v="7"/>
    <x v="7"/>
    <s v="1 (NOCHE)"/>
    <m/>
    <m/>
    <m/>
    <m/>
    <m/>
    <n v="7.5921538461538463"/>
    <n v="296.093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089.870000000003"/>
    <n v="31089.870000000003"/>
    <n v="1000"/>
    <n v="105.00000000000001"/>
  </r>
  <r>
    <x v="7"/>
    <x v="7"/>
    <s v="2 (MAÑANA)"/>
    <m/>
    <m/>
    <m/>
    <m/>
    <m/>
    <n v="8.8325675675675672"/>
    <n v="326.80500000000001"/>
    <n v="37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314.525000000001"/>
    <n v="34314.525000000001"/>
    <n v="1000"/>
    <n v="105"/>
  </r>
  <r>
    <x v="7"/>
    <x v="7"/>
    <s v="3(TARDE)"/>
    <m/>
    <m/>
    <m/>
    <m/>
    <m/>
    <n v="6.5840000000000005"/>
    <n v="269.94400000000002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8344.120000000003"/>
    <n v="28344.120000000003"/>
    <n v="1000"/>
    <n v="105"/>
  </r>
  <r>
    <x v="8"/>
    <x v="8"/>
    <s v="1 (NOCHE)"/>
    <m/>
    <m/>
    <m/>
    <m/>
    <m/>
    <n v="6.9993499999999997"/>
    <n v="279.97399999999999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397.27"/>
    <n v="29397.27"/>
    <n v="1000"/>
    <n v="105"/>
  </r>
  <r>
    <x v="8"/>
    <x v="8"/>
    <s v="2 (MAÑANA)"/>
    <m/>
    <m/>
    <m/>
    <m/>
    <m/>
    <n v="7.289575000000001"/>
    <n v="291.58300000000003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616.215000000004"/>
    <n v="30616.215000000004"/>
    <n v="1000"/>
    <n v="105"/>
  </r>
  <r>
    <x v="8"/>
    <x v="8"/>
    <s v="3(TARDE)"/>
    <m/>
    <m/>
    <m/>
    <m/>
    <m/>
    <n v="6.500230769230769"/>
    <n v="253.508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618.445"/>
    <n v="26618.445"/>
    <n v="1000"/>
    <n v="105"/>
  </r>
  <r>
    <x v="9"/>
    <x v="9"/>
    <s v="1 (NOCHE)"/>
    <m/>
    <m/>
    <m/>
    <m/>
    <m/>
    <n v="6.3903589743589739"/>
    <n v="249.22399999999999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168.52"/>
    <n v="26168.52"/>
    <n v="1000"/>
    <n v="105"/>
  </r>
  <r>
    <x v="9"/>
    <x v="9"/>
    <s v="2 (MAÑANA)"/>
    <m/>
    <m/>
    <m/>
    <m/>
    <m/>
    <n v="8.1603846153846149"/>
    <n v="318.255"/>
    <n v="39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416.775000000001"/>
    <n v="33416.775000000001"/>
    <n v="1000"/>
    <n v="105"/>
  </r>
  <r>
    <x v="9"/>
    <x v="9"/>
    <s v="3(TARDE)"/>
    <m/>
    <m/>
    <m/>
    <m/>
    <m/>
    <n v="7.8010789473684206"/>
    <n v="296.44099999999997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126.304999999997"/>
    <n v="31126.304999999997"/>
    <n v="1000"/>
    <n v="105"/>
  </r>
  <r>
    <x v="10"/>
    <x v="10"/>
    <s v="1 (NOCHE)"/>
    <m/>
    <m/>
    <m/>
    <m/>
    <m/>
    <n v="8.0998157894736842"/>
    <n v="307.79300000000001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318.265000000003"/>
    <n v="32318.265000000003"/>
    <n v="1000"/>
    <n v="105.00000000000001"/>
  </r>
  <r>
    <x v="10"/>
    <x v="10"/>
    <s v="2 (MAÑANA)"/>
    <m/>
    <m/>
    <m/>
    <m/>
    <m/>
    <n v="2.8394117647058827"/>
    <n v="96.54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0136.700000000003"/>
    <n v="10136.700000000003"/>
    <n v="1000"/>
    <n v="105.00000000000001"/>
  </r>
  <r>
    <x v="10"/>
    <x v="10"/>
    <s v="3(TARDE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1 (NOCHE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2 (MAÑANA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1"/>
    <x v="11"/>
    <s v="3(TARDE)"/>
    <m/>
    <n v="0"/>
    <n v="0"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1 (NOCHE)"/>
    <m/>
    <m/>
    <m/>
    <m/>
    <m/>
    <n v="0"/>
    <n v="0"/>
    <n v="3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2 (MAÑANA)"/>
    <m/>
    <m/>
    <m/>
    <m/>
    <m/>
    <n v="0"/>
    <n v="0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2"/>
    <x v="12"/>
    <s v="3(TARDE)"/>
    <m/>
    <m/>
    <m/>
    <m/>
    <m/>
    <n v="9.8088536585365862"/>
    <n v="402.16300000000001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42227.115000000005"/>
    <n v="42227.115000000005"/>
    <n v="1000"/>
    <n v="105.00000000000001"/>
  </r>
  <r>
    <x v="13"/>
    <x v="13"/>
    <s v="1 (NOCHE)"/>
    <m/>
    <m/>
    <m/>
    <m/>
    <m/>
    <n v="8.3421578947368431"/>
    <n v="317.00200000000001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285.21"/>
    <n v="33285.21"/>
    <n v="1000"/>
    <n v="105"/>
  </r>
  <r>
    <x v="13"/>
    <x v="13"/>
    <s v="2 (MAÑANA)"/>
    <m/>
    <m/>
    <m/>
    <m/>
    <m/>
    <n v="6.111756097560975"/>
    <n v="250.58199999999999"/>
    <n v="41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311.11"/>
    <n v="26311.11"/>
    <n v="1000"/>
    <n v="105"/>
  </r>
  <r>
    <x v="13"/>
    <x v="13"/>
    <s v="3(TARDE)"/>
    <m/>
    <m/>
    <m/>
    <m/>
    <m/>
    <n v="7.6822558139534882"/>
    <n v="330.33699999999999"/>
    <n v="43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685.385000000002"/>
    <n v="34685.385000000002"/>
    <n v="1000"/>
    <n v="105.00000000000001"/>
  </r>
  <r>
    <x v="14"/>
    <x v="14"/>
    <s v="1 (NOCHE)"/>
    <m/>
    <m/>
    <m/>
    <m/>
    <m/>
    <n v="7.7647674418604646"/>
    <n v="333.88499999999999"/>
    <n v="43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5057.925000000003"/>
    <n v="35057.925000000003"/>
    <n v="1000"/>
    <n v="105.00000000000001"/>
  </r>
  <r>
    <x v="14"/>
    <x v="14"/>
    <s v="2 (MAÑANA)"/>
    <m/>
    <m/>
    <m/>
    <m/>
    <m/>
    <n v="8.1609999999999996"/>
    <n v="359.084"/>
    <n v="4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7703.82"/>
    <n v="37703.82"/>
    <n v="1000"/>
    <n v="105"/>
  </r>
  <r>
    <x v="14"/>
    <x v="14"/>
    <s v="3(TARDE)"/>
    <m/>
    <m/>
    <m/>
    <m/>
    <m/>
    <n v="5.8427441860465112"/>
    <n v="251.238"/>
    <n v="43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379.99"/>
    <n v="26379.99"/>
    <n v="1000"/>
    <n v="105"/>
  </r>
  <r>
    <x v="15"/>
    <x v="15"/>
    <s v="1 (NOCHE)"/>
    <m/>
    <m/>
    <m/>
    <m/>
    <m/>
    <n v="8.8095238095238102"/>
    <n v="370"/>
    <n v="42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8850"/>
    <n v="38850"/>
    <n v="1000"/>
    <n v="105"/>
  </r>
  <r>
    <x v="15"/>
    <x v="15"/>
    <s v="2 (MAÑANA)"/>
    <m/>
    <m/>
    <m/>
    <m/>
    <m/>
    <n v="7.5612750000000002"/>
    <n v="302.45100000000002"/>
    <n v="40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757.355000000003"/>
    <n v="31757.355000000003"/>
    <n v="1000"/>
    <n v="105"/>
  </r>
  <r>
    <x v="15"/>
    <x v="15"/>
    <s v="3(TARDE)"/>
    <m/>
    <m/>
    <m/>
    <m/>
    <m/>
    <n v="7.1619318181818183"/>
    <n v="315.125"/>
    <n v="44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088.125"/>
    <n v="33088.125"/>
    <n v="1000"/>
    <n v="105"/>
  </r>
  <r>
    <x v="16"/>
    <x v="16"/>
    <s v="1 (NOCHE)"/>
    <m/>
    <m/>
    <m/>
    <m/>
    <m/>
    <n v="7.0373684210526317"/>
    <n v="267.42"/>
    <n v="38"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8079.100000000006"/>
    <n v="28079.100000000006"/>
    <n v="1000"/>
    <n v="105.00000000000001"/>
  </r>
  <r>
    <x v="16"/>
    <x v="16"/>
    <s v="2 (MAÑANA)"/>
    <m/>
    <m/>
    <m/>
    <m/>
    <m/>
    <e v="#DIV/0!"/>
    <n v="176.687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8552.135000000002"/>
    <n v="18552.135000000002"/>
    <n v="1000"/>
    <n v="105"/>
  </r>
  <r>
    <x v="16"/>
    <x v="16"/>
    <s v="3(TARDE)"/>
    <m/>
    <m/>
    <m/>
    <m/>
    <m/>
    <e v="#DIV/0!"/>
    <n v="311.257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682.089999999997"/>
    <n v="32682.089999999997"/>
    <n v="1000"/>
    <n v="105"/>
  </r>
  <r>
    <x v="17"/>
    <x v="17"/>
    <s v="1 (NOCHE)"/>
    <m/>
    <m/>
    <m/>
    <m/>
    <m/>
    <e v="#DIV/0!"/>
    <n v="302.95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809.75"/>
    <n v="31809.75"/>
    <n v="1000"/>
    <n v="105"/>
  </r>
  <r>
    <x v="17"/>
    <x v="17"/>
    <s v="2 (MAÑANA)"/>
    <m/>
    <m/>
    <m/>
    <m/>
    <m/>
    <e v="#DIV/0!"/>
    <n v="156.4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6422"/>
    <n v="16422"/>
    <n v="1000"/>
    <n v="105"/>
  </r>
  <r>
    <x v="17"/>
    <x v="17"/>
    <s v="3(TARDE)"/>
    <m/>
    <m/>
    <m/>
    <m/>
    <m/>
    <e v="#DIV/0!"/>
    <n v="228.859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4030.195000000003"/>
    <n v="24030.195000000003"/>
    <n v="1000"/>
    <n v="105.00000000000001"/>
  </r>
  <r>
    <x v="18"/>
    <x v="18"/>
    <s v="1 (NOCH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2 (MAÑANA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8"/>
    <x v="18"/>
    <s v="3(TARD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19"/>
    <x v="19"/>
    <s v="1 (NOCHE)"/>
    <m/>
    <m/>
    <m/>
    <m/>
    <m/>
    <e v="#DIV/0!"/>
    <n v="212.46299999999999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2308.615000000002"/>
    <n v="22308.615000000002"/>
    <n v="1000"/>
    <n v="105.00000000000001"/>
  </r>
  <r>
    <x v="19"/>
    <x v="19"/>
    <s v="2 (MAÑANA)"/>
    <m/>
    <m/>
    <m/>
    <m/>
    <m/>
    <e v="#DIV/0!"/>
    <n v="321.682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776.610000000008"/>
    <n v="33776.610000000008"/>
    <n v="1000"/>
    <n v="105.00000000000001"/>
  </r>
  <r>
    <x v="19"/>
    <x v="19"/>
    <s v="3(TARDE)"/>
    <m/>
    <m/>
    <m/>
    <m/>
    <m/>
    <e v="#DIV/0!"/>
    <n v="295.2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996.210000000003"/>
    <n v="30996.210000000003"/>
    <n v="1000"/>
    <n v="105.00000000000001"/>
  </r>
  <r>
    <x v="20"/>
    <x v="20"/>
    <s v="1 (NOCHE)"/>
    <m/>
    <m/>
    <m/>
    <m/>
    <m/>
    <e v="#DIV/0!"/>
    <n v="295.144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990.120000000003"/>
    <n v="30990.120000000003"/>
    <n v="1000"/>
    <n v="105"/>
  </r>
  <r>
    <x v="20"/>
    <x v="20"/>
    <s v="2 (MAÑANA)"/>
    <m/>
    <m/>
    <m/>
    <m/>
    <m/>
    <e v="#DIV/0!"/>
    <n v="313.817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950.89"/>
    <n v="32950.89"/>
    <n v="1000"/>
    <n v="105"/>
  </r>
  <r>
    <x v="20"/>
    <x v="20"/>
    <s v="3(TARDE)"/>
    <m/>
    <m/>
    <m/>
    <m/>
    <m/>
    <e v="#DIV/0!"/>
    <n v="300.413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543.365000000002"/>
    <n v="31543.365000000002"/>
    <n v="1000"/>
    <n v="105"/>
  </r>
  <r>
    <x v="21"/>
    <x v="21"/>
    <s v="1 (NOCHE)"/>
    <m/>
    <m/>
    <m/>
    <m/>
    <m/>
    <e v="#DIV/0!"/>
    <n v="260.72399999999999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7376.02"/>
    <n v="27376.02"/>
    <n v="1000"/>
    <n v="105"/>
  </r>
  <r>
    <x v="21"/>
    <x v="21"/>
    <s v="2 (MAÑANA)"/>
    <m/>
    <m/>
    <m/>
    <m/>
    <m/>
    <e v="#DIV/0!"/>
    <n v="304.886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13.030000000006"/>
    <n v="32013.030000000006"/>
    <n v="1000"/>
    <n v="105.00000000000001"/>
  </r>
  <r>
    <x v="21"/>
    <x v="21"/>
    <s v="3(TARDE)"/>
    <m/>
    <m/>
    <m/>
    <m/>
    <m/>
    <e v="#DIV/0!"/>
    <n v="307.084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243.82"/>
    <n v="32243.82"/>
    <n v="1000"/>
    <n v="105"/>
  </r>
  <r>
    <x v="22"/>
    <x v="22"/>
    <s v="1 (NOCHE)"/>
    <m/>
    <m/>
    <m/>
    <m/>
    <m/>
    <e v="#DIV/0!"/>
    <n v="253.45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6612.460000000003"/>
    <n v="26612.460000000003"/>
    <n v="1000"/>
    <n v="105.00000000000001"/>
  </r>
  <r>
    <x v="22"/>
    <x v="22"/>
    <s v="2 (MAÑANA)"/>
    <m/>
    <m/>
    <m/>
    <m/>
    <m/>
    <e v="#DIV/0!"/>
    <n v="295.526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030.230000000003"/>
    <n v="31030.230000000003"/>
    <n v="1000"/>
    <n v="105.00000000000001"/>
  </r>
  <r>
    <x v="22"/>
    <x v="22"/>
    <s v="3(TARDE)"/>
    <m/>
    <m/>
    <m/>
    <m/>
    <m/>
    <e v="#DIV/0!"/>
    <n v="290.577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510.584999999999"/>
    <n v="30510.584999999999"/>
    <n v="1000"/>
    <n v="105"/>
  </r>
  <r>
    <x v="23"/>
    <x v="23"/>
    <s v="1 (NOCHE)"/>
    <m/>
    <m/>
    <m/>
    <m/>
    <m/>
    <e v="#DIV/0!"/>
    <n v="281.216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527.68"/>
    <n v="29527.68"/>
    <n v="1000"/>
    <n v="105"/>
  </r>
  <r>
    <x v="23"/>
    <x v="23"/>
    <s v="2 (MAÑANA)"/>
    <m/>
    <m/>
    <m/>
    <m/>
    <m/>
    <e v="#DIV/0!"/>
    <n v="285.122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9937.810000000005"/>
    <n v="29937.810000000005"/>
    <n v="1000"/>
    <n v="105.00000000000001"/>
  </r>
  <r>
    <x v="23"/>
    <x v="23"/>
    <s v="3(TARDE)"/>
    <m/>
    <m/>
    <m/>
    <m/>
    <m/>
    <e v="#DIV/0!"/>
    <n v="259.216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7217.68"/>
    <n v="27217.68"/>
    <n v="1000"/>
    <n v="105"/>
  </r>
  <r>
    <x v="24"/>
    <x v="24"/>
    <s v="1 (NOCHE)"/>
    <m/>
    <m/>
    <m/>
    <m/>
    <m/>
    <e v="#DIV/0!"/>
    <n v="394.848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41459.040000000008"/>
    <n v="41459.040000000008"/>
    <n v="1000"/>
    <n v="105.00000000000001"/>
  </r>
  <r>
    <x v="24"/>
    <x v="24"/>
    <s v="2 (MAÑANA)"/>
    <m/>
    <m/>
    <m/>
    <m/>
    <m/>
    <e v="#DIV/0!"/>
    <n v="227.734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3912.070000000003"/>
    <n v="23912.070000000003"/>
    <n v="1000"/>
    <n v="105.00000000000001"/>
  </r>
  <r>
    <x v="24"/>
    <x v="24"/>
    <s v="3(TARD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1 (NOCHE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2 (MAÑANA)"/>
    <m/>
    <m/>
    <m/>
    <m/>
    <m/>
    <e v="#DIV/0!"/>
    <n v="0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25"/>
    <x v="25"/>
    <s v="3(TARDE)"/>
    <m/>
    <m/>
    <m/>
    <m/>
    <m/>
    <e v="#DIV/0!"/>
    <n v="125.733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3201.965000000002"/>
    <n v="13201.965000000002"/>
    <n v="1000"/>
    <n v="105.00000000000001"/>
  </r>
  <r>
    <x v="26"/>
    <x v="26"/>
    <s v="1 (NOCHE)"/>
    <m/>
    <m/>
    <m/>
    <m/>
    <m/>
    <e v="#DIV/0!"/>
    <n v="317.262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312.614999999998"/>
    <n v="33312.614999999998"/>
    <n v="1000"/>
    <n v="105"/>
  </r>
  <r>
    <x v="26"/>
    <x v="26"/>
    <s v="2 (MAÑANA)"/>
    <m/>
    <m/>
    <m/>
    <m/>
    <m/>
    <e v="#DIV/0!"/>
    <n v="318.511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443.655000000006"/>
    <n v="33443.655000000006"/>
    <n v="1000"/>
    <n v="105.00000000000001"/>
  </r>
  <r>
    <x v="26"/>
    <x v="26"/>
    <s v="3(TARDE)"/>
    <m/>
    <m/>
    <m/>
    <m/>
    <m/>
    <e v="#DIV/0!"/>
    <n v="305.17099999999999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2042.954999999998"/>
    <n v="32042.954999999998"/>
    <n v="1000"/>
    <n v="105"/>
  </r>
  <r>
    <x v="27"/>
    <x v="27"/>
    <s v="1 (NOCHE)"/>
    <m/>
    <m/>
    <m/>
    <m/>
    <m/>
    <e v="#DIV/0!"/>
    <n v="293.098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0775.290000000005"/>
    <n v="30775.290000000005"/>
    <n v="1000"/>
    <n v="105.00000000000001"/>
  </r>
  <r>
    <x v="27"/>
    <x v="27"/>
    <s v="2 (MAÑANA)"/>
    <m/>
    <m/>
    <m/>
    <m/>
    <m/>
    <e v="#DIV/0!"/>
    <n v="314.64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037.410000000003"/>
    <n v="33037.410000000003"/>
    <n v="1000"/>
    <n v="105.00000000000001"/>
  </r>
  <r>
    <x v="27"/>
    <x v="27"/>
    <s v="3(TARDE)"/>
    <m/>
    <m/>
    <m/>
    <m/>
    <m/>
    <e v="#DIV/0!"/>
    <n v="332.5919999999999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4922.160000000003"/>
    <n v="34922.160000000003"/>
    <n v="1000"/>
    <n v="105.00000000000001"/>
  </r>
  <r>
    <x v="28"/>
    <x v="28"/>
    <s v="1 (NOCHE)"/>
    <m/>
    <m/>
    <m/>
    <m/>
    <m/>
    <e v="#DIV/0!"/>
    <n v="360.151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7815.855000000003"/>
    <n v="37815.855000000003"/>
    <n v="1000"/>
    <n v="105"/>
  </r>
  <r>
    <x v="28"/>
    <x v="28"/>
    <s v="2 (MAÑANA)"/>
    <m/>
    <m/>
    <m/>
    <m/>
    <m/>
    <e v="#DIV/0!"/>
    <n v="364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8220"/>
    <n v="38220"/>
    <n v="1000"/>
    <n v="105"/>
  </r>
  <r>
    <x v="28"/>
    <x v="28"/>
    <s v="3(TARDE)"/>
    <m/>
    <m/>
    <m/>
    <m/>
    <m/>
    <e v="#DIV/0!"/>
    <n v="321.66500000000002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3774.825000000004"/>
    <n v="33774.825000000004"/>
    <n v="1000"/>
    <n v="105"/>
  </r>
  <r>
    <x v="29"/>
    <x v="29"/>
    <s v="1 (NOCHE)"/>
    <m/>
    <m/>
    <m/>
    <m/>
    <m/>
    <e v="#DIV/0!"/>
    <n v="297.66800000000001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31255.140000000003"/>
    <n v="31255.140000000003"/>
    <n v="1000"/>
    <n v="105.00000000000001"/>
  </r>
  <r>
    <x v="29"/>
    <x v="29"/>
    <s v="2 (MAÑANA)"/>
    <m/>
    <m/>
    <m/>
    <m/>
    <m/>
    <e v="#DIV/0!"/>
    <n v="229.208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24066.84"/>
    <n v="24066.84"/>
    <n v="1000"/>
    <n v="105"/>
  </r>
  <r>
    <x v="29"/>
    <x v="29"/>
    <s v="3(TARDE)"/>
    <m/>
    <m/>
    <m/>
    <m/>
    <m/>
    <e v="#DIV/0!"/>
    <n v="182.185"/>
    <m/>
    <n v="0"/>
    <n v="0"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1650"/>
    <n v="19160"/>
    <n v="36239"/>
    <n v="1298"/>
    <n v="4200"/>
    <n v="0"/>
    <n v="0"/>
    <n v="0"/>
    <n v="0"/>
    <n v="19129.425000000003"/>
    <n v="19129.425000000003"/>
    <n v="1000"/>
    <n v="105.00000000000001"/>
  </r>
  <r>
    <x v="30"/>
    <x v="0"/>
    <s v="1 (NOCH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2 (MAÑANA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0"/>
    <x v="0"/>
    <s v="3(TARDE)"/>
    <m/>
    <m/>
    <m/>
    <m/>
    <m/>
    <e v="#DIV/0!"/>
    <m/>
    <m/>
    <n v="0"/>
    <m/>
    <n v="0"/>
    <n v="0"/>
    <n v="0"/>
    <n v="0"/>
    <n v="0"/>
    <n v="0"/>
    <n v="0"/>
    <n v="0"/>
    <n v="0"/>
    <n v="0"/>
    <n v="0"/>
    <n v="0"/>
    <n v="0"/>
    <n v="1.18"/>
    <n v="1.28"/>
    <n v="1.2"/>
    <n v="1.53"/>
    <n v="1.2"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n v="1000"/>
    <e v="#DIV/0!"/>
  </r>
  <r>
    <x v="31"/>
    <x v="30"/>
    <m/>
    <m/>
    <m/>
    <m/>
    <m/>
    <m/>
    <e v="#DIV/0!"/>
    <m/>
    <m/>
    <m/>
    <m/>
    <n v="0"/>
    <n v="0"/>
    <m/>
    <n v="0"/>
    <n v="0"/>
    <n v="0"/>
    <n v="0"/>
    <n v="0"/>
    <n v="0"/>
    <n v="0"/>
    <n v="0"/>
    <n v="0"/>
    <n v="0"/>
    <m/>
    <m/>
    <m/>
    <m/>
    <m/>
    <n v="0"/>
    <n v="0"/>
    <n v="0"/>
    <n v="0"/>
    <n v="0"/>
    <e v="#DIV/0!"/>
    <e v="#DIV/0!"/>
    <e v="#DIV/0!"/>
    <e v="#DIV/0!"/>
    <e v="#DIV/0!"/>
    <n v="1650"/>
    <n v="19160"/>
    <n v="36239"/>
    <n v="1298"/>
    <n v="4200"/>
    <n v="0"/>
    <n v="0"/>
    <n v="0"/>
    <n v="0"/>
    <n v="0"/>
    <n v="0"/>
    <m/>
    <e v="#DIV/0!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s v="1 (NOCHE)"/>
    <n v="1"/>
    <s v="FINAL TURNO 3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2 (MAÑANA)"/>
    <n v="2"/>
    <s v="FINAL TURNO 1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0"/>
    <x v="0"/>
    <s v="3(TARDE)"/>
    <n v="3"/>
    <s v="FINAL TURNO 2"/>
    <n v="2780"/>
    <n v="5720"/>
    <n v="4280"/>
    <n v="275"/>
    <n v="450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"/>
    <x v="1"/>
    <s v="2 (NOCHE)"/>
    <n v="4"/>
    <s v="FINAL TURNO 3"/>
    <n v="2780"/>
    <n v="5720"/>
    <n v="4280"/>
    <n v="275"/>
    <n v="450"/>
    <n v="17622"/>
    <n v="480"/>
    <n v="80"/>
    <n v="80"/>
    <n v="20"/>
    <n v="80"/>
    <n v="5"/>
    <n v="5"/>
    <n v="104"/>
    <n v="26.5"/>
    <n v="100"/>
    <n v="5"/>
    <n v="5"/>
    <n v="216.66666666666666"/>
    <n v="55.208333333333336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86320"/>
    <n v="74677"/>
    <n v="629500"/>
    <n v="95250"/>
    <n v="110250"/>
    <n v="995997"/>
    <n v="3599"/>
    <n v="2074.9937500000001"/>
    <n v="6"/>
  </r>
  <r>
    <x v="1"/>
    <x v="1"/>
    <s v="3 (MAÑANA)"/>
    <n v="5"/>
    <s v="FINAL TURNO 1"/>
    <n v="2700"/>
    <n v="5700"/>
    <n v="4200"/>
    <n v="270"/>
    <n v="445"/>
    <n v="17628"/>
    <n v="400"/>
    <n v="80"/>
    <n v="100"/>
    <n v="100"/>
    <n v="10"/>
    <n v="5"/>
    <n v="5"/>
    <n v="130"/>
    <n v="132.5"/>
    <n v="12.5"/>
    <n v="5"/>
    <n v="5"/>
    <n v="325"/>
    <n v="331.25"/>
    <n v="31.25"/>
    <n v="12.5"/>
    <n v="12.5"/>
    <n v="1.3"/>
    <n v="1.325"/>
    <n v="1.25"/>
    <n v="2500"/>
    <n v="2500"/>
    <n v="830"/>
    <n v="2818"/>
    <n v="6295"/>
    <n v="19050"/>
    <n v="22050"/>
    <n v="107900"/>
    <n v="373385"/>
    <n v="78687.5"/>
    <n v="95250"/>
    <n v="110250"/>
    <n v="765472.5"/>
    <n v="3599"/>
    <n v="1913.6812500000001"/>
    <n v="5"/>
  </r>
  <r>
    <x v="1"/>
    <x v="1"/>
    <s v="3(TARDE)"/>
    <n v="6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 (NOCHE)"/>
    <n v="7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4 (MAÑANA)"/>
    <n v="8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"/>
    <x v="2"/>
    <s v="3(TARDE)"/>
    <n v="9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4 (NOCHE)"/>
    <n v="10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5 (MAÑANA)"/>
    <n v="11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"/>
    <x v="3"/>
    <s v="3(TARDE)"/>
    <n v="12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5 (NOCHE)"/>
    <n v="13"/>
    <s v="FINAL TURNO 3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6 (MAÑANA)"/>
    <n v="14"/>
    <s v="FINAL TURNO 1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4"/>
    <x v="4"/>
    <s v="3(TARDE)"/>
    <n v="15"/>
    <s v="FINAL TURNO 2"/>
    <n v="2600"/>
    <n v="5600"/>
    <n v="4190"/>
    <n v="265"/>
    <n v="440"/>
    <n v="17633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5"/>
    <x v="5"/>
    <s v="6 (NOCHE)"/>
    <n v="16"/>
    <s v="FINAL TURNO 3"/>
    <n v="2600"/>
    <n v="5600"/>
    <n v="4190"/>
    <n v="265"/>
    <n v="440"/>
    <n v="17633"/>
    <n v="160"/>
    <n v="80"/>
    <n v="20"/>
    <n v="110"/>
    <n v="0"/>
    <n v="0"/>
    <n v="0"/>
    <n v="26"/>
    <n v="145.75"/>
    <n v="0"/>
    <n v="0"/>
    <n v="0"/>
    <n v="162.5"/>
    <n v="910.9375"/>
    <n v="0"/>
    <n v="0"/>
    <n v="0"/>
    <n v="1.3"/>
    <n v="1.325"/>
    <n v="1.25"/>
    <n v="2500"/>
    <n v="2500"/>
    <n v="830"/>
    <n v="2818"/>
    <n v="6295"/>
    <n v="19050"/>
    <n v="22050"/>
    <n v="21580"/>
    <n v="410723.5"/>
    <n v="0"/>
    <n v="0"/>
    <n v="0"/>
    <n v="432303.5"/>
    <n v="3599"/>
    <n v="2701.8968749999999"/>
    <n v="2"/>
  </r>
  <r>
    <x v="5"/>
    <x v="5"/>
    <s v="7 (MAÑANA)"/>
    <n v="17"/>
    <s v="FINAL TURNO 1"/>
    <n v="2580"/>
    <n v="9490"/>
    <n v="4190"/>
    <n v="265"/>
    <n v="440"/>
    <n v="17635"/>
    <n v="480"/>
    <n v="80"/>
    <n v="20"/>
    <n v="140"/>
    <n v="40"/>
    <n v="5"/>
    <n v="10"/>
    <n v="26"/>
    <n v="185.5"/>
    <n v="50"/>
    <n v="5"/>
    <n v="10"/>
    <n v="54.166666666666664"/>
    <n v="386.45833333333331"/>
    <n v="104.16666666666667"/>
    <n v="10.416666666666666"/>
    <n v="20.833333333333332"/>
    <n v="1.3"/>
    <n v="1.325"/>
    <n v="1.25"/>
    <n v="2500"/>
    <n v="2500"/>
    <n v="830"/>
    <n v="2818"/>
    <n v="6295"/>
    <n v="19050"/>
    <n v="22050"/>
    <n v="21580"/>
    <n v="522739"/>
    <n v="314750"/>
    <n v="95250"/>
    <n v="220500"/>
    <n v="1174819"/>
    <n v="3599"/>
    <n v="2447.5395833333332"/>
    <n v="6"/>
  </r>
  <r>
    <x v="5"/>
    <x v="5"/>
    <s v="3(TARDE)"/>
    <n v="18"/>
    <s v="FINAL TURNO 2"/>
    <n v="2560"/>
    <n v="9200"/>
    <n v="4150"/>
    <n v="260"/>
    <n v="430"/>
    <n v="17641"/>
    <n v="400"/>
    <n v="80"/>
    <n v="110"/>
    <n v="180"/>
    <n v="30"/>
    <n v="0"/>
    <n v="5"/>
    <n v="143"/>
    <n v="238.5"/>
    <n v="37.5"/>
    <n v="0"/>
    <n v="5"/>
    <n v="357.5"/>
    <n v="596.25"/>
    <n v="93.75"/>
    <n v="0"/>
    <n v="12.5"/>
    <n v="1.3"/>
    <n v="1.325"/>
    <n v="1.25"/>
    <n v="2500"/>
    <n v="2500"/>
    <n v="830"/>
    <n v="2818"/>
    <n v="6295"/>
    <n v="19050"/>
    <n v="22050"/>
    <n v="118690"/>
    <n v="672093"/>
    <n v="236062.5"/>
    <n v="0"/>
    <n v="110250"/>
    <n v="1137095.5"/>
    <n v="3599"/>
    <n v="2842.73875"/>
    <n v="5"/>
  </r>
  <r>
    <x v="6"/>
    <x v="6"/>
    <s v="7 (NOCHE)"/>
    <n v="19"/>
    <s v="FINAL TURNO 3"/>
    <n v="2450"/>
    <n v="9020"/>
    <n v="4120"/>
    <n v="260"/>
    <n v="425"/>
    <n v="17646"/>
    <n v="498"/>
    <n v="83"/>
    <n v="50"/>
    <n v="90"/>
    <n v="20"/>
    <n v="0"/>
    <n v="0"/>
    <n v="65"/>
    <n v="119.25"/>
    <n v="25"/>
    <n v="0"/>
    <n v="0"/>
    <n v="130.52208835341366"/>
    <n v="239.45783132530121"/>
    <n v="50.200803212851405"/>
    <n v="0"/>
    <n v="0"/>
    <n v="1.3"/>
    <n v="1.325"/>
    <n v="1.25"/>
    <n v="2500"/>
    <n v="2500"/>
    <n v="830"/>
    <n v="2818"/>
    <n v="6295"/>
    <n v="19050"/>
    <n v="22050"/>
    <n v="53950"/>
    <n v="336046.5"/>
    <n v="157375"/>
    <n v="0"/>
    <n v="0"/>
    <n v="547371.5"/>
    <n v="3599"/>
    <n v="1099.1395582329317"/>
    <n v="6"/>
  </r>
  <r>
    <x v="6"/>
    <x v="6"/>
    <s v="8 (MAÑANA)"/>
    <n v="20"/>
    <s v="FINAL TURNO 1"/>
    <n v="2400"/>
    <n v="8930"/>
    <n v="4100"/>
    <n v="260"/>
    <n v="425"/>
    <n v="17652"/>
    <n v="249"/>
    <n v="83"/>
    <n v="0"/>
    <n v="170"/>
    <n v="30"/>
    <n v="0"/>
    <n v="5"/>
    <n v="0"/>
    <n v="225.25"/>
    <n v="37.5"/>
    <n v="0"/>
    <n v="5"/>
    <n v="0"/>
    <n v="904.61847389558238"/>
    <n v="150.60240963855421"/>
    <n v="0"/>
    <n v="20.080321285140563"/>
    <n v="1.3"/>
    <n v="1.325"/>
    <n v="1.25"/>
    <n v="2500"/>
    <n v="2500"/>
    <n v="830"/>
    <n v="2818"/>
    <n v="6295"/>
    <n v="19050"/>
    <n v="22050"/>
    <n v="0"/>
    <n v="634754.5"/>
    <n v="236062.5"/>
    <n v="0"/>
    <n v="110250"/>
    <n v="981067"/>
    <n v="3599"/>
    <n v="3940.0281124497992"/>
    <n v="3"/>
  </r>
  <r>
    <x v="6"/>
    <x v="6"/>
    <s v="3(TARDE)"/>
    <n v="21"/>
    <s v="FINAL TURNO 2"/>
    <n v="2400"/>
    <n v="8760"/>
    <n v="4070"/>
    <n v="260"/>
    <n v="420"/>
    <n v="17655"/>
    <n v="332"/>
    <n v="83"/>
    <n v="100"/>
    <n v="160"/>
    <n v="70"/>
    <n v="5"/>
    <n v="5"/>
    <n v="130"/>
    <n v="212"/>
    <n v="87.5"/>
    <n v="5"/>
    <n v="5"/>
    <n v="391.56626506024094"/>
    <n v="638.5542168674699"/>
    <n v="263.5542168674699"/>
    <n v="15.060240963855422"/>
    <n v="15.060240963855422"/>
    <n v="1.3"/>
    <n v="1.325"/>
    <n v="1.25"/>
    <n v="2500"/>
    <n v="2500"/>
    <n v="830"/>
    <n v="2818"/>
    <n v="6295"/>
    <n v="19050"/>
    <n v="22050"/>
    <n v="107900"/>
    <n v="597416"/>
    <n v="550812.5"/>
    <n v="95250"/>
    <n v="110250"/>
    <n v="1461628.5"/>
    <n v="3599"/>
    <n v="4402.4954819277109"/>
    <n v="4"/>
  </r>
  <r>
    <x v="7"/>
    <x v="7"/>
    <s v="8 (NOCHE)"/>
    <n v="22"/>
    <s v="FINAL TURNO 3"/>
    <n v="2300"/>
    <n v="8450"/>
    <n v="4000"/>
    <n v="255"/>
    <n v="415"/>
    <n v="17659"/>
    <n v="400"/>
    <n v="80"/>
    <n v="150"/>
    <n v="110"/>
    <n v="60"/>
    <n v="0"/>
    <n v="0"/>
    <n v="195"/>
    <n v="145.75"/>
    <n v="75"/>
    <n v="0"/>
    <n v="0"/>
    <n v="487.5"/>
    <n v="364.375"/>
    <n v="187.5"/>
    <n v="0"/>
    <n v="0"/>
    <n v="1.3"/>
    <n v="1.325"/>
    <n v="1.25"/>
    <n v="2500"/>
    <n v="2500"/>
    <n v="830"/>
    <n v="2818"/>
    <n v="6295"/>
    <n v="19050"/>
    <n v="22050"/>
    <n v="161850"/>
    <n v="410723.5"/>
    <n v="472125"/>
    <n v="0"/>
    <n v="0"/>
    <n v="1044698.5"/>
    <n v="3599"/>
    <n v="2611.7462500000001"/>
    <n v="5"/>
  </r>
  <r>
    <x v="7"/>
    <x v="7"/>
    <s v="9 (MAÑANA)"/>
    <n v="23"/>
    <s v="FINAL TURNO 1"/>
    <n v="2150"/>
    <n v="8340"/>
    <n v="3940"/>
    <n v="255"/>
    <n v="415"/>
    <n v="17664"/>
    <n v="240"/>
    <n v="80"/>
    <n v="130"/>
    <n v="110"/>
    <n v="10"/>
    <n v="0"/>
    <n v="5"/>
    <n v="169"/>
    <n v="145.75"/>
    <n v="12.5"/>
    <n v="0"/>
    <n v="5"/>
    <n v="704.16666666666663"/>
    <n v="607.29166666666663"/>
    <n v="52.083333333333336"/>
    <n v="0"/>
    <n v="20.833333333333332"/>
    <n v="1.3"/>
    <n v="1.325"/>
    <n v="1.25"/>
    <n v="2500"/>
    <n v="2500"/>
    <n v="830"/>
    <n v="2818"/>
    <n v="6295"/>
    <n v="19050"/>
    <n v="22050"/>
    <n v="140270"/>
    <n v="410723.5"/>
    <n v="78687.5"/>
    <n v="0"/>
    <n v="110250"/>
    <n v="739931"/>
    <n v="3599"/>
    <n v="3083.0458333333331"/>
    <n v="3"/>
  </r>
  <r>
    <x v="7"/>
    <x v="7"/>
    <s v="3(TARDE)"/>
    <n v="24"/>
    <s v="FINAL TURNO 2"/>
    <n v="4020"/>
    <n v="8230"/>
    <n v="4930"/>
    <n v="255"/>
    <n v="410"/>
    <n v="17667"/>
    <n v="560"/>
    <n v="80"/>
    <n v="90"/>
    <n v="120"/>
    <n v="30"/>
    <n v="5"/>
    <n v="5"/>
    <n v="117"/>
    <n v="159"/>
    <n v="37.5"/>
    <n v="5"/>
    <n v="5"/>
    <n v="208.92857142857142"/>
    <n v="283.92857142857144"/>
    <n v="66.964285714285708"/>
    <n v="8.9285714285714288"/>
    <n v="8.9285714285714288"/>
    <n v="1.3"/>
    <n v="1.325"/>
    <n v="1.25"/>
    <n v="2500"/>
    <n v="2500"/>
    <n v="830"/>
    <n v="2818"/>
    <n v="6295"/>
    <n v="19050"/>
    <n v="22050"/>
    <n v="97110"/>
    <n v="448062"/>
    <n v="236062.5"/>
    <n v="95250"/>
    <n v="110250"/>
    <n v="986734.5"/>
    <n v="3599"/>
    <n v="1762.0258928571429"/>
    <n v="7"/>
  </r>
  <r>
    <x v="8"/>
    <x v="8"/>
    <s v="9 (NOCHE)"/>
    <n v="25"/>
    <s v="FINAL TURNO 3"/>
    <n v="3930"/>
    <n v="8110"/>
    <n v="4900"/>
    <n v="250"/>
    <n v="405"/>
    <n v="17674"/>
    <n v="560"/>
    <n v="80"/>
    <n v="70"/>
    <n v="100"/>
    <n v="10"/>
    <n v="5"/>
    <n v="5"/>
    <n v="91"/>
    <n v="132.5"/>
    <n v="12.5"/>
    <n v="5"/>
    <n v="5"/>
    <n v="162.5"/>
    <n v="236.60714285714286"/>
    <n v="22.321428571428573"/>
    <n v="8.9285714285714288"/>
    <n v="8.9285714285714288"/>
    <n v="1.3"/>
    <n v="1.325"/>
    <n v="1.25"/>
    <n v="2500"/>
    <n v="2500"/>
    <n v="830"/>
    <n v="2818"/>
    <n v="6295"/>
    <n v="19050"/>
    <n v="22050"/>
    <n v="75530"/>
    <n v="373385"/>
    <n v="78687.5"/>
    <n v="95250"/>
    <n v="110250"/>
    <n v="733102.5"/>
    <n v="3599"/>
    <n v="1309.1116071428571"/>
    <n v="7"/>
  </r>
  <r>
    <x v="8"/>
    <x v="8"/>
    <s v="10 (MAÑANA)"/>
    <n v="26"/>
    <s v="FINAL TURNO 1"/>
    <n v="3860"/>
    <n v="8010"/>
    <n v="4890"/>
    <n v="245"/>
    <n v="400"/>
    <n v="17681"/>
    <n v="240"/>
    <n v="80"/>
    <n v="160"/>
    <n v="60"/>
    <n v="30"/>
    <n v="5"/>
    <n v="5"/>
    <n v="208"/>
    <n v="79.5"/>
    <n v="37.5"/>
    <n v="5"/>
    <n v="5"/>
    <n v="866.66666666666663"/>
    <n v="331.25"/>
    <n v="156.25"/>
    <n v="20.833333333333332"/>
    <n v="20.833333333333332"/>
    <n v="1.3"/>
    <n v="1.325"/>
    <n v="1.25"/>
    <n v="2500"/>
    <n v="2500"/>
    <n v="830"/>
    <n v="2818"/>
    <n v="6295"/>
    <n v="19050"/>
    <n v="22050"/>
    <n v="172640"/>
    <n v="224031"/>
    <n v="236062.5"/>
    <n v="95250"/>
    <n v="110250"/>
    <n v="838233.5"/>
    <n v="3599"/>
    <n v="3492.6395833333331"/>
    <n v="3"/>
  </r>
  <r>
    <x v="8"/>
    <x v="8"/>
    <s v="3(TARDE)"/>
    <n v="27"/>
    <s v="FINAL TURNO 2"/>
    <n v="3700"/>
    <n v="7900"/>
    <n v="4860"/>
    <n v="240"/>
    <n v="395"/>
    <n v="17684"/>
    <n v="480"/>
    <n v="80"/>
    <n v="200"/>
    <n v="50"/>
    <n v="30"/>
    <n v="0"/>
    <n v="5"/>
    <n v="260"/>
    <n v="66.25"/>
    <n v="37.5"/>
    <n v="0"/>
    <n v="5"/>
    <n v="541.66666666666663"/>
    <n v="138.02083333333334"/>
    <n v="78.125"/>
    <n v="0"/>
    <n v="10.416666666666666"/>
    <n v="1.3"/>
    <n v="1.325"/>
    <n v="1.25"/>
    <n v="2500"/>
    <n v="2500"/>
    <n v="830"/>
    <n v="2818"/>
    <n v="6295"/>
    <n v="19050"/>
    <n v="22050"/>
    <n v="215800"/>
    <n v="186692.5"/>
    <n v="236062.5"/>
    <n v="0"/>
    <n v="110250"/>
    <n v="748805"/>
    <n v="3599"/>
    <n v="1560.0104166666667"/>
    <n v="6"/>
  </r>
  <r>
    <x v="9"/>
    <x v="9"/>
    <s v="10 (NOCHE)"/>
    <n v="28"/>
    <s v="FINAL TURNO 3"/>
    <n v="3500"/>
    <n v="7800"/>
    <n v="4830"/>
    <n v="240"/>
    <n v="390"/>
    <n v="17690"/>
    <n v="480"/>
    <n v="80"/>
    <n v="10"/>
    <n v="10"/>
    <n v="60"/>
    <n v="5"/>
    <n v="5"/>
    <n v="13"/>
    <n v="13.25"/>
    <n v="75"/>
    <n v="5"/>
    <n v="5"/>
    <n v="27.083333333333332"/>
    <n v="27.604166666666668"/>
    <n v="156.25"/>
    <n v="10.416666666666666"/>
    <n v="10.416666666666666"/>
    <n v="1.3"/>
    <n v="1.325"/>
    <n v="1.25"/>
    <n v="2500"/>
    <n v="2500"/>
    <n v="830"/>
    <n v="2818"/>
    <n v="6295"/>
    <n v="19050"/>
    <n v="22050"/>
    <n v="10790"/>
    <n v="37338.5"/>
    <n v="472125"/>
    <n v="95250"/>
    <n v="110250"/>
    <n v="725753.5"/>
    <n v="3599"/>
    <n v="1511.9864583333333"/>
    <n v="6"/>
  </r>
  <r>
    <x v="9"/>
    <x v="9"/>
    <s v="11 (MAÑANA)"/>
    <n v="29"/>
    <s v="FINAL TURNO 1"/>
    <n v="3490"/>
    <n v="7790"/>
    <n v="4770"/>
    <n v="235"/>
    <n v="385"/>
    <n v="17696"/>
    <n v="400"/>
    <n v="80"/>
    <n v="80"/>
    <n v="190"/>
    <n v="20"/>
    <n v="0"/>
    <n v="5"/>
    <n v="104"/>
    <n v="251.75"/>
    <n v="25"/>
    <n v="0"/>
    <n v="5"/>
    <n v="260"/>
    <n v="629.375"/>
    <n v="62.5"/>
    <n v="0"/>
    <n v="12.5"/>
    <n v="1.3"/>
    <n v="1.325"/>
    <n v="1.25"/>
    <n v="2500"/>
    <n v="2500"/>
    <n v="830"/>
    <n v="2818"/>
    <n v="6295"/>
    <n v="19050"/>
    <n v="22050"/>
    <n v="86320"/>
    <n v="709431.5"/>
    <n v="157375"/>
    <n v="0"/>
    <n v="110250"/>
    <n v="1063376.5"/>
    <n v="3599"/>
    <n v="2658.4412499999999"/>
    <n v="5"/>
  </r>
  <r>
    <x v="9"/>
    <x v="9"/>
    <s v="3(TARDE)"/>
    <n v="30"/>
    <s v="FINAL TURNO 2"/>
    <n v="3340"/>
    <n v="7600"/>
    <n v="4750"/>
    <n v="235"/>
    <n v="380"/>
    <n v="17701"/>
    <n v="640"/>
    <n v="80"/>
    <n v="110"/>
    <n v="220"/>
    <n v="60"/>
    <n v="5"/>
    <n v="5"/>
    <n v="143"/>
    <n v="291.5"/>
    <n v="75"/>
    <n v="5"/>
    <n v="5"/>
    <n v="223.4375"/>
    <n v="455.46875"/>
    <n v="117.1875"/>
    <n v="7.8125"/>
    <n v="7.8125"/>
    <n v="1.3"/>
    <n v="1.325"/>
    <n v="1.25"/>
    <n v="2500"/>
    <n v="2500"/>
    <n v="830"/>
    <n v="2818"/>
    <n v="6295"/>
    <n v="19050"/>
    <n v="22050"/>
    <n v="118690"/>
    <n v="821447"/>
    <n v="472125"/>
    <n v="95250"/>
    <n v="110250"/>
    <n v="1617762"/>
    <n v="3599"/>
    <n v="2527.7531250000002"/>
    <n v="8"/>
  </r>
  <r>
    <x v="10"/>
    <x v="10"/>
    <s v="11 (NOCHE)"/>
    <n v="31"/>
    <s v="FINAL TURNO 3"/>
    <n v="3230"/>
    <n v="7170"/>
    <n v="4690"/>
    <n v="230"/>
    <n v="375"/>
    <n v="17709"/>
    <n v="400"/>
    <n v="80"/>
    <n v="110"/>
    <n v="100"/>
    <n v="90"/>
    <n v="0"/>
    <n v="5"/>
    <n v="143"/>
    <n v="132.5"/>
    <n v="112.5"/>
    <n v="0"/>
    <n v="5"/>
    <n v="357.5"/>
    <n v="331.25"/>
    <n v="281.25"/>
    <n v="0"/>
    <n v="12.5"/>
    <n v="1.3"/>
    <n v="1.325"/>
    <n v="1.25"/>
    <n v="2500"/>
    <n v="2500"/>
    <n v="830"/>
    <n v="2818"/>
    <n v="6295"/>
    <n v="19050"/>
    <n v="22050"/>
    <n v="118690"/>
    <n v="373385"/>
    <n v="708187.5"/>
    <n v="0"/>
    <n v="110250"/>
    <n v="1310512.5"/>
    <n v="3599"/>
    <n v="3276.28125"/>
    <n v="5"/>
  </r>
  <r>
    <x v="10"/>
    <x v="10"/>
    <s v="12 (MAÑANA)"/>
    <n v="32"/>
    <s v="FINAL TURNO 1"/>
    <n v="3120"/>
    <n v="7070"/>
    <n v="4600"/>
    <n v="230"/>
    <n v="370"/>
    <n v="17714"/>
    <n v="320"/>
    <n v="80"/>
    <n v="20"/>
    <n v="170"/>
    <n v="50"/>
    <n v="0"/>
    <n v="0"/>
    <n v="26"/>
    <n v="225.25"/>
    <n v="62.5"/>
    <n v="0"/>
    <n v="0"/>
    <n v="81.25"/>
    <n v="703.90625"/>
    <n v="195.3125"/>
    <n v="0"/>
    <n v="0"/>
    <n v="1.3"/>
    <n v="1.325"/>
    <n v="1.25"/>
    <n v="2500"/>
    <n v="2500"/>
    <n v="830"/>
    <n v="2818"/>
    <n v="6295"/>
    <n v="19050"/>
    <n v="22050"/>
    <n v="21580"/>
    <n v="634754.5"/>
    <n v="393437.5"/>
    <n v="0"/>
    <n v="0"/>
    <n v="1049772"/>
    <n v="3599"/>
    <n v="3280.5374999999999"/>
    <n v="4"/>
  </r>
  <r>
    <x v="10"/>
    <x v="10"/>
    <s v="3(TARDE)"/>
    <n v="33"/>
    <s v="FINAL TURNO 2"/>
    <n v="3100"/>
    <n v="6900"/>
    <n v="4550"/>
    <n v="230"/>
    <n v="370"/>
    <n v="17718"/>
    <n v="320"/>
    <n v="80"/>
    <n v="50"/>
    <n v="100"/>
    <n v="50"/>
    <n v="0"/>
    <n v="5"/>
    <n v="65"/>
    <n v="132.5"/>
    <n v="62.5"/>
    <n v="0"/>
    <n v="5"/>
    <n v="203.125"/>
    <n v="414.0625"/>
    <n v="195.3125"/>
    <n v="0"/>
    <n v="15.625"/>
    <n v="1.3"/>
    <n v="1.325"/>
    <n v="1.25"/>
    <n v="2500"/>
    <n v="2500"/>
    <n v="830"/>
    <n v="2818"/>
    <n v="6295"/>
    <n v="19050"/>
    <n v="22050"/>
    <n v="53950"/>
    <n v="373385"/>
    <n v="393437.5"/>
    <n v="0"/>
    <n v="110250"/>
    <n v="931022.5"/>
    <n v="3599"/>
    <n v="2909.4453125"/>
    <n v="4"/>
  </r>
  <r>
    <x v="11"/>
    <x v="11"/>
    <s v="12 (NOCHE)"/>
    <n v="34"/>
    <s v="FINAL TURNO 3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1"/>
    <x v="11"/>
    <s v="13 (MAÑANA)"/>
    <n v="35"/>
    <s v="FINAL TURNO 1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1"/>
    <x v="11"/>
    <s v="3(TARDE)"/>
    <n v="36"/>
    <s v="FINAL TURNO 2"/>
    <n v="3050"/>
    <n v="6800"/>
    <n v="4500"/>
    <n v="230"/>
    <n v="365"/>
    <n v="177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2"/>
    <x v="12"/>
    <s v="13 (NOCHE)"/>
    <n v="37"/>
    <s v="FINAL TURNO 3"/>
    <n v="3050"/>
    <n v="6800"/>
    <n v="4500"/>
    <n v="230"/>
    <n v="365"/>
    <n v="17722"/>
    <n v="480"/>
    <n v="80"/>
    <n v="150"/>
    <n v="100"/>
    <n v="20"/>
    <n v="0"/>
    <n v="10"/>
    <n v="195"/>
    <n v="132.5"/>
    <n v="25"/>
    <n v="0"/>
    <n v="10"/>
    <n v="406.25"/>
    <n v="276.04166666666669"/>
    <n v="52.083333333333336"/>
    <n v="0"/>
    <n v="20.833333333333332"/>
    <n v="1.3"/>
    <n v="1.325"/>
    <n v="1.25"/>
    <n v="2500"/>
    <n v="2500"/>
    <n v="830"/>
    <n v="2818"/>
    <n v="6295"/>
    <n v="19050"/>
    <n v="22050"/>
    <n v="161850"/>
    <n v="373385"/>
    <n v="157375"/>
    <n v="0"/>
    <n v="220500"/>
    <n v="913110"/>
    <n v="3599"/>
    <n v="1902.3125"/>
    <n v="6"/>
  </r>
  <r>
    <x v="12"/>
    <x v="12"/>
    <s v="14 (MAÑANA)"/>
    <n v="38"/>
    <s v="FINAL TURNO 1"/>
    <n v="2900"/>
    <n v="6700"/>
    <n v="4480"/>
    <n v="230"/>
    <n v="355"/>
    <n v="17728"/>
    <n v="400"/>
    <n v="80"/>
    <n v="100"/>
    <n v="100"/>
    <n v="30"/>
    <n v="5"/>
    <n v="5"/>
    <n v="130"/>
    <n v="132.5"/>
    <n v="37.5"/>
    <n v="5"/>
    <n v="5"/>
    <n v="325"/>
    <n v="331.25"/>
    <n v="93.75"/>
    <n v="12.5"/>
    <n v="12.5"/>
    <n v="1.3"/>
    <n v="1.325"/>
    <n v="1.25"/>
    <n v="2500"/>
    <n v="2500"/>
    <n v="830"/>
    <n v="2818"/>
    <n v="6295"/>
    <n v="19050"/>
    <n v="22050"/>
    <n v="107900"/>
    <n v="373385"/>
    <n v="236062.5"/>
    <n v="95250"/>
    <n v="110250"/>
    <n v="922847.5"/>
    <n v="3599"/>
    <n v="2307.1187500000001"/>
    <n v="5"/>
  </r>
  <r>
    <x v="12"/>
    <x v="12"/>
    <s v="3(TARDE)"/>
    <n v="39"/>
    <s v="FINAL TURNO 2"/>
    <n v="2800"/>
    <n v="6600"/>
    <n v="4450"/>
    <n v="225"/>
    <n v="350"/>
    <n v="17733"/>
    <n v="480"/>
    <n v="80"/>
    <n v="100"/>
    <n v="100"/>
    <n v="100"/>
    <n v="0"/>
    <n v="5"/>
    <n v="130"/>
    <n v="132.5"/>
    <n v="125"/>
    <n v="0"/>
    <n v="5"/>
    <n v="270.83333333333331"/>
    <n v="276.04166666666669"/>
    <n v="260.41666666666669"/>
    <n v="0"/>
    <n v="10.416666666666666"/>
    <n v="1.3"/>
    <n v="1.325"/>
    <n v="1.25"/>
    <n v="2500"/>
    <n v="2500"/>
    <n v="830"/>
    <n v="2818"/>
    <n v="6295"/>
    <n v="19050"/>
    <n v="22050"/>
    <n v="107900"/>
    <n v="373385"/>
    <n v="786875"/>
    <n v="0"/>
    <n v="110250"/>
    <n v="1378410"/>
    <n v="3599"/>
    <n v="2871.6875"/>
    <n v="6"/>
  </r>
  <r>
    <x v="13"/>
    <x v="13"/>
    <s v="14 (NOCHE)"/>
    <n v="40"/>
    <s v="FINAL TURNO 3"/>
    <n v="2700"/>
    <n v="6500"/>
    <n v="4350"/>
    <n v="225"/>
    <n v="345"/>
    <n v="17739"/>
    <n v="560"/>
    <n v="80"/>
    <n v="100"/>
    <n v="200"/>
    <n v="70"/>
    <n v="5"/>
    <n v="10"/>
    <n v="130"/>
    <n v="265"/>
    <n v="87.5"/>
    <n v="5"/>
    <n v="10"/>
    <n v="232.14285714285714"/>
    <n v="473.21428571428572"/>
    <n v="156.25"/>
    <n v="8.9285714285714288"/>
    <n v="17.857142857142858"/>
    <n v="1.3"/>
    <n v="1.325"/>
    <n v="1.25"/>
    <n v="2500"/>
    <n v="2500"/>
    <n v="830"/>
    <n v="2818"/>
    <n v="6295"/>
    <n v="19050"/>
    <n v="22050"/>
    <n v="107900"/>
    <n v="746770"/>
    <n v="550812.5"/>
    <n v="95250"/>
    <n v="220500"/>
    <n v="1721232.5"/>
    <n v="3599"/>
    <n v="3073.6294642857142"/>
    <n v="7"/>
  </r>
  <r>
    <x v="13"/>
    <x v="13"/>
    <s v="15 (MAÑANA)"/>
    <n v="41"/>
    <s v="FINAL TURNO 1"/>
    <n v="2600"/>
    <n v="6300"/>
    <n v="4280"/>
    <n v="220"/>
    <n v="335"/>
    <n v="17746"/>
    <n v="240"/>
    <n v="80"/>
    <n v="60"/>
    <n v="140"/>
    <n v="30"/>
    <n v="5"/>
    <n v="5"/>
    <n v="78"/>
    <n v="185.5"/>
    <n v="37.5"/>
    <n v="5"/>
    <n v="5"/>
    <n v="325"/>
    <n v="772.91666666666663"/>
    <n v="156.25"/>
    <n v="20.833333333333332"/>
    <n v="20.833333333333332"/>
    <n v="1.3"/>
    <n v="1.325"/>
    <n v="1.25"/>
    <n v="2500"/>
    <n v="2500"/>
    <n v="830"/>
    <n v="2818"/>
    <n v="6295"/>
    <n v="19050"/>
    <n v="22050"/>
    <n v="64740"/>
    <n v="522739"/>
    <n v="236062.5"/>
    <n v="95250"/>
    <n v="110250"/>
    <n v="1029041.5"/>
    <n v="3599"/>
    <n v="4287.6729166666664"/>
    <n v="3"/>
  </r>
  <r>
    <x v="13"/>
    <x v="13"/>
    <s v="3(TARDE)"/>
    <n v="42"/>
    <s v="FINAL TURNO 2"/>
    <n v="2540"/>
    <n v="6160"/>
    <n v="4250"/>
    <n v="215"/>
    <n v="330"/>
    <n v="17749"/>
    <n v="480"/>
    <n v="80"/>
    <n v="40"/>
    <n v="230"/>
    <n v="20"/>
    <n v="5"/>
    <n v="5"/>
    <n v="52"/>
    <n v="304.75"/>
    <n v="25"/>
    <n v="5"/>
    <n v="5"/>
    <n v="108.33333333333333"/>
    <n v="634.89583333333337"/>
    <n v="52.083333333333336"/>
    <n v="10.416666666666666"/>
    <n v="10.416666666666666"/>
    <n v="1.3"/>
    <n v="1.325"/>
    <n v="1.25"/>
    <n v="2500"/>
    <n v="2500"/>
    <n v="830"/>
    <n v="2818"/>
    <n v="6295"/>
    <n v="19050"/>
    <n v="22050"/>
    <n v="43160"/>
    <n v="858785.5"/>
    <n v="157375"/>
    <n v="95250"/>
    <n v="110250"/>
    <n v="1264820.5"/>
    <n v="3599"/>
    <n v="2635.0427083333334"/>
    <n v="6"/>
  </r>
  <r>
    <x v="14"/>
    <x v="14"/>
    <s v="15 (NOCHE)"/>
    <n v="43"/>
    <s v="FINAL TURNO 3"/>
    <n v="2500"/>
    <n v="5930"/>
    <n v="4230"/>
    <n v="210"/>
    <n v="325"/>
    <n v="17755"/>
    <n v="480"/>
    <n v="80"/>
    <n v="170"/>
    <n v="200"/>
    <n v="80"/>
    <n v="0"/>
    <n v="5"/>
    <n v="221"/>
    <n v="265"/>
    <n v="100"/>
    <n v="0"/>
    <n v="5"/>
    <n v="460.41666666666669"/>
    <n v="552.08333333333337"/>
    <n v="208.33333333333334"/>
    <n v="0"/>
    <n v="10.416666666666666"/>
    <n v="1.3"/>
    <n v="1.325"/>
    <n v="1.25"/>
    <n v="2500"/>
    <n v="2500"/>
    <n v="830"/>
    <n v="2818"/>
    <n v="6295"/>
    <n v="19050"/>
    <n v="22050"/>
    <n v="183430"/>
    <n v="746770"/>
    <n v="629500"/>
    <n v="0"/>
    <n v="110250"/>
    <n v="1669950"/>
    <n v="3599"/>
    <n v="3479.0625"/>
    <n v="6"/>
  </r>
  <r>
    <x v="14"/>
    <x v="14"/>
    <s v="16 (MAÑANA)"/>
    <n v="44"/>
    <s v="FINAL TURNO 1"/>
    <n v="2330"/>
    <n v="5730"/>
    <n v="4150"/>
    <n v="210"/>
    <n v="320"/>
    <n v="17761"/>
    <n v="400"/>
    <n v="80"/>
    <n v="30"/>
    <n v="130"/>
    <n v="50"/>
    <n v="0"/>
    <n v="10"/>
    <n v="39"/>
    <n v="172.25"/>
    <n v="62.5"/>
    <n v="0"/>
    <n v="10"/>
    <n v="97.5"/>
    <n v="430.625"/>
    <n v="156.25"/>
    <n v="0"/>
    <n v="25"/>
    <n v="1.3"/>
    <n v="1.325"/>
    <n v="1.25"/>
    <n v="2500"/>
    <n v="2500"/>
    <n v="830"/>
    <n v="2818"/>
    <n v="6295"/>
    <n v="19050"/>
    <n v="22050"/>
    <n v="32370"/>
    <n v="485400.5"/>
    <n v="393437.5"/>
    <n v="0"/>
    <n v="220500"/>
    <n v="1131708"/>
    <n v="3599"/>
    <n v="2829.27"/>
    <n v="5"/>
  </r>
  <r>
    <x v="14"/>
    <x v="14"/>
    <s v="3(TARDE)"/>
    <n v="45"/>
    <s v="FINAL TURNO 2"/>
    <n v="2300"/>
    <n v="5600"/>
    <n v="4100"/>
    <n v="210"/>
    <n v="310"/>
    <n v="17766"/>
    <n v="320"/>
    <n v="80"/>
    <n v="0"/>
    <n v="20"/>
    <n v="50"/>
    <n v="5"/>
    <n v="5"/>
    <n v="0"/>
    <n v="26.5"/>
    <n v="62.5"/>
    <n v="5"/>
    <n v="5"/>
    <n v="0"/>
    <n v="82.8125"/>
    <n v="195.3125"/>
    <n v="15.625"/>
    <n v="15.625"/>
    <n v="1.3"/>
    <n v="1.325"/>
    <n v="1.25"/>
    <n v="2500"/>
    <n v="2500"/>
    <n v="830"/>
    <n v="2818"/>
    <n v="6295"/>
    <n v="19050"/>
    <n v="22050"/>
    <n v="0"/>
    <n v="74677"/>
    <n v="393437.5"/>
    <n v="95250"/>
    <n v="110250"/>
    <n v="673614.5"/>
    <n v="3599"/>
    <n v="2105.0453124999999"/>
    <n v="4"/>
  </r>
  <r>
    <x v="15"/>
    <x v="15"/>
    <s v="16 (NOCHE)"/>
    <n v="46"/>
    <s v="FINAL TURNO 3"/>
    <n v="4300"/>
    <n v="7580"/>
    <n v="4050"/>
    <n v="205"/>
    <n v="305"/>
    <n v="17770"/>
    <n v="560"/>
    <n v="80"/>
    <n v="100"/>
    <n v="220"/>
    <n v="80"/>
    <n v="5"/>
    <n v="5"/>
    <n v="130"/>
    <n v="291.5"/>
    <n v="100"/>
    <n v="5"/>
    <n v="5"/>
    <n v="232.14285714285714"/>
    <n v="520.53571428571433"/>
    <n v="178.57142857142858"/>
    <n v="8.9285714285714288"/>
    <n v="8.9285714285714288"/>
    <n v="1.3"/>
    <n v="1.325"/>
    <n v="1.25"/>
    <n v="2500"/>
    <n v="2500"/>
    <n v="830"/>
    <n v="2818"/>
    <n v="6295"/>
    <n v="19050"/>
    <n v="22050"/>
    <n v="107900"/>
    <n v="821447"/>
    <n v="629500"/>
    <n v="95250"/>
    <n v="110250"/>
    <n v="1764347"/>
    <n v="3599"/>
    <n v="3150.6196428571429"/>
    <n v="7"/>
  </r>
  <r>
    <x v="15"/>
    <x v="15"/>
    <s v="17 (MAÑANA)"/>
    <n v="47"/>
    <s v="FINAL TURNO 1"/>
    <n v="4200"/>
    <n v="7360"/>
    <n v="3970"/>
    <n v="200"/>
    <n v="300"/>
    <n v="17777"/>
    <n v="560"/>
    <n v="80"/>
    <n v="90"/>
    <n v="140"/>
    <n v="50"/>
    <n v="0"/>
    <n v="0"/>
    <n v="117"/>
    <n v="185.5"/>
    <n v="62.5"/>
    <n v="0"/>
    <n v="0"/>
    <n v="208.92857142857142"/>
    <n v="331.25"/>
    <n v="111.60714285714286"/>
    <n v="0"/>
    <n v="0"/>
    <n v="1.3"/>
    <n v="1.325"/>
    <n v="1.25"/>
    <n v="2500"/>
    <n v="2500"/>
    <n v="830"/>
    <n v="2818"/>
    <n v="6295"/>
    <n v="19050"/>
    <n v="22050"/>
    <n v="97110"/>
    <n v="522739"/>
    <n v="393437.5"/>
    <n v="0"/>
    <n v="0"/>
    <n v="1013286.5"/>
    <n v="3599"/>
    <n v="1809.4401785714285"/>
    <n v="7"/>
  </r>
  <r>
    <x v="15"/>
    <x v="15"/>
    <s v="3(TARDE)"/>
    <n v="48"/>
    <s v="FINAL TURNO 2"/>
    <n v="4110"/>
    <n v="7220"/>
    <n v="3920"/>
    <n v="200"/>
    <n v="300"/>
    <n v="17784"/>
    <n v="480"/>
    <n v="80"/>
    <n v="130"/>
    <n v="150"/>
    <n v="70"/>
    <n v="5"/>
    <n v="5"/>
    <n v="169"/>
    <n v="198.75"/>
    <n v="87.5"/>
    <n v="5"/>
    <n v="5"/>
    <n v="352.08333333333331"/>
    <n v="414.0625"/>
    <n v="182.29166666666666"/>
    <n v="10.416666666666666"/>
    <n v="10.416666666666666"/>
    <n v="1.3"/>
    <n v="1.325"/>
    <n v="1.25"/>
    <n v="2500"/>
    <n v="2500"/>
    <n v="830"/>
    <n v="2818"/>
    <n v="6295"/>
    <n v="19050"/>
    <n v="22050"/>
    <n v="140270"/>
    <n v="560077.5"/>
    <n v="550812.5"/>
    <n v="95250"/>
    <n v="110250"/>
    <n v="1456660"/>
    <n v="3599"/>
    <n v="3034.7083333333335"/>
    <n v="6"/>
  </r>
  <r>
    <x v="16"/>
    <x v="16"/>
    <s v="17 (NOCHE)"/>
    <n v="49"/>
    <s v="FINAL TURNO 3"/>
    <n v="3980"/>
    <n v="8920"/>
    <n v="3850"/>
    <n v="195"/>
    <n v="295"/>
    <n v="17790"/>
    <n v="560"/>
    <n v="80"/>
    <n v="100"/>
    <n v="190"/>
    <n v="90"/>
    <n v="0"/>
    <n v="10"/>
    <n v="130"/>
    <n v="251.75"/>
    <n v="112.5"/>
    <n v="0"/>
    <n v="10"/>
    <n v="232.14285714285714"/>
    <n v="449.55357142857144"/>
    <n v="200.89285714285714"/>
    <n v="0"/>
    <n v="17.857142857142858"/>
    <n v="1.3"/>
    <n v="1.325"/>
    <n v="1.25"/>
    <n v="2500"/>
    <n v="2500"/>
    <n v="830"/>
    <n v="2818"/>
    <n v="6295"/>
    <n v="19050"/>
    <n v="22050"/>
    <n v="107900"/>
    <n v="709431.5"/>
    <n v="708187.5"/>
    <n v="0"/>
    <n v="220500"/>
    <n v="1746019"/>
    <n v="3599"/>
    <n v="3117.8910714285716"/>
    <n v="7"/>
  </r>
  <r>
    <x v="16"/>
    <x v="16"/>
    <s v="18 (MAÑANA)"/>
    <n v="50"/>
    <s v="FINAL TURNO 1"/>
    <n v="3880"/>
    <n v="8730"/>
    <n v="3760"/>
    <n v="195"/>
    <n v="285"/>
    <n v="17797"/>
    <n v="320"/>
    <n v="80"/>
    <n v="200"/>
    <n v="180"/>
    <n v="70"/>
    <n v="0"/>
    <n v="0"/>
    <n v="260"/>
    <n v="238.5"/>
    <n v="87.5"/>
    <n v="0"/>
    <n v="0"/>
    <n v="812.5"/>
    <n v="745.3125"/>
    <n v="273.4375"/>
    <n v="0"/>
    <n v="0"/>
    <n v="1.3"/>
    <n v="1.325"/>
    <n v="1.25"/>
    <n v="2500"/>
    <n v="2500"/>
    <n v="830"/>
    <n v="2818"/>
    <n v="6295"/>
    <n v="19050"/>
    <n v="22050"/>
    <n v="215800"/>
    <n v="672093"/>
    <n v="550812.5"/>
    <n v="0"/>
    <n v="0"/>
    <n v="1438705.5"/>
    <n v="3599"/>
    <n v="4495.9546874999996"/>
    <n v="4"/>
  </r>
  <r>
    <x v="16"/>
    <x v="16"/>
    <s v="3(TARDE)"/>
    <n v="51"/>
    <s v="FINAL TURNO 2"/>
    <n v="3680"/>
    <n v="8550"/>
    <n v="3690"/>
    <n v="195"/>
    <n v="285"/>
    <n v="17801"/>
    <n v="560"/>
    <n v="80"/>
    <n v="260"/>
    <n v="170"/>
    <n v="90"/>
    <n v="5"/>
    <n v="5"/>
    <n v="338"/>
    <n v="225.25"/>
    <n v="112.5"/>
    <n v="5"/>
    <n v="5"/>
    <n v="603.57142857142856"/>
    <n v="402.23214285714283"/>
    <n v="200.89285714285714"/>
    <n v="8.9285714285714288"/>
    <n v="8.9285714285714288"/>
    <n v="1.3"/>
    <n v="1.325"/>
    <n v="1.25"/>
    <n v="2500"/>
    <n v="2500"/>
    <n v="830"/>
    <n v="2818"/>
    <n v="6295"/>
    <n v="19050"/>
    <n v="22050"/>
    <n v="280540"/>
    <n v="634754.5"/>
    <n v="708187.5"/>
    <n v="95250"/>
    <n v="110250"/>
    <n v="1828982"/>
    <n v="3599"/>
    <n v="3266.0392857142856"/>
    <n v="7"/>
  </r>
  <r>
    <x v="17"/>
    <x v="17"/>
    <s v="18 (NOCHE)"/>
    <n v="52"/>
    <s v="FINAL TURNO 3"/>
    <n v="3420"/>
    <n v="8380"/>
    <n v="3600"/>
    <n v="190"/>
    <n v="280"/>
    <n v="17808"/>
    <n v="640"/>
    <n v="80"/>
    <n v="120"/>
    <n v="170"/>
    <n v="60"/>
    <n v="0"/>
    <n v="10"/>
    <n v="156"/>
    <n v="225.25"/>
    <n v="75"/>
    <n v="0"/>
    <n v="10"/>
    <n v="243.75"/>
    <n v="351.953125"/>
    <n v="117.1875"/>
    <n v="0"/>
    <n v="15.625"/>
    <n v="1.3"/>
    <n v="1.325"/>
    <n v="1.25"/>
    <n v="2500"/>
    <n v="2500"/>
    <n v="830"/>
    <n v="2818"/>
    <n v="6295"/>
    <n v="19050"/>
    <n v="22050"/>
    <n v="129480"/>
    <n v="634754.5"/>
    <n v="472125"/>
    <n v="0"/>
    <n v="220500"/>
    <n v="1456859.5"/>
    <n v="3599"/>
    <n v="2276.3429687500002"/>
    <n v="8"/>
  </r>
  <r>
    <x v="17"/>
    <x v="17"/>
    <s v="19 (MAÑANA)"/>
    <n v="53"/>
    <s v="FINAL TURNO 1"/>
    <n v="3300"/>
    <n v="8060"/>
    <n v="3540"/>
    <n v="190"/>
    <n v="270"/>
    <n v="17816"/>
    <n v="640"/>
    <n v="80"/>
    <n v="300"/>
    <n v="180"/>
    <n v="140"/>
    <n v="0"/>
    <n v="0"/>
    <n v="390"/>
    <n v="238.5"/>
    <n v="175"/>
    <n v="0"/>
    <n v="0"/>
    <n v="609.375"/>
    <n v="372.65625"/>
    <n v="273.4375"/>
    <n v="0"/>
    <n v="0"/>
    <n v="1.3"/>
    <n v="1.325"/>
    <n v="1.25"/>
    <n v="2500"/>
    <n v="2500"/>
    <n v="830"/>
    <n v="2818"/>
    <n v="6295"/>
    <n v="19050"/>
    <n v="22050"/>
    <n v="323700"/>
    <n v="672093"/>
    <n v="1101625"/>
    <n v="0"/>
    <n v="0"/>
    <n v="2097418"/>
    <n v="3599"/>
    <n v="3277.2156249999998"/>
    <n v="8"/>
  </r>
  <r>
    <x v="17"/>
    <x v="17"/>
    <s v="3(TARDE)"/>
    <n v="54"/>
    <s v="FINAL TURNO 2"/>
    <n v="3000"/>
    <n v="7880"/>
    <n v="3400"/>
    <n v="190"/>
    <n v="270"/>
    <n v="17824"/>
    <n v="400"/>
    <n v="80"/>
    <n v="35"/>
    <n v="150"/>
    <n v="105"/>
    <n v="5"/>
    <n v="5"/>
    <n v="45.5"/>
    <n v="198.75"/>
    <n v="131.25"/>
    <n v="5"/>
    <n v="5"/>
    <n v="113.75"/>
    <n v="496.875"/>
    <n v="328.125"/>
    <n v="12.5"/>
    <n v="12.5"/>
    <n v="1.3"/>
    <n v="1.325"/>
    <n v="1.25"/>
    <n v="2500"/>
    <n v="2500"/>
    <n v="830"/>
    <n v="2818"/>
    <n v="6295"/>
    <n v="19050"/>
    <n v="22050"/>
    <n v="37765"/>
    <n v="560077.5"/>
    <n v="826218.75"/>
    <n v="95250"/>
    <n v="110250"/>
    <n v="1629561.25"/>
    <n v="3599"/>
    <n v="4073.9031249999998"/>
    <n v="5"/>
  </r>
  <r>
    <x v="18"/>
    <x v="18"/>
    <s v="19 (NOCHE)"/>
    <n v="55"/>
    <s v="FINAL TURNO 3"/>
    <n v="2965"/>
    <n v="7730"/>
    <n v="3295"/>
    <n v="185"/>
    <n v="265"/>
    <n v="17829"/>
    <n v="0"/>
    <n v="80"/>
    <n v="0"/>
    <n v="0"/>
    <n v="0"/>
    <n v="0"/>
    <n v="10"/>
    <n v="0"/>
    <n v="0"/>
    <n v="0"/>
    <n v="0"/>
    <n v="1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220500"/>
    <n v="220500"/>
    <n v="3599"/>
    <e v="#DIV/0!"/>
    <n v="0"/>
  </r>
  <r>
    <x v="18"/>
    <x v="18"/>
    <s v="20 (MAÑANA)"/>
    <n v="56"/>
    <s v="FINAL TURNO 1"/>
    <n v="2965"/>
    <n v="7730"/>
    <n v="3295"/>
    <n v="185"/>
    <n v="255"/>
    <n v="17829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18"/>
    <x v="18"/>
    <s v="3(TARDE)"/>
    <n v="57"/>
    <s v="FINAL TURNO 2"/>
    <n v="2965"/>
    <n v="7730"/>
    <n v="3295"/>
    <n v="185"/>
    <n v="255"/>
    <n v="17829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  <n v="0"/>
  </r>
  <r>
    <x v="19"/>
    <x v="19"/>
    <s v="20 (NOCHE)"/>
    <n v="58"/>
    <s v="FINAL TURNO 3"/>
    <n v="2965"/>
    <n v="7730"/>
    <n v="3295"/>
    <n v="185"/>
    <n v="250"/>
    <n v="17829"/>
    <n v="400"/>
    <n v="80"/>
    <n v="35"/>
    <n v="150"/>
    <n v="105"/>
    <n v="0"/>
    <n v="0"/>
    <n v="45.5"/>
    <n v="198.75"/>
    <n v="131.25"/>
    <n v="0"/>
    <n v="0"/>
    <n v="113.75"/>
    <n v="496.875"/>
    <n v="328.125"/>
    <n v="0"/>
    <n v="0"/>
    <n v="1.3"/>
    <n v="1.325"/>
    <n v="1.25"/>
    <n v="2500"/>
    <n v="2500"/>
    <n v="830"/>
    <n v="2818"/>
    <n v="6295"/>
    <n v="19050"/>
    <n v="22050"/>
    <n v="37765"/>
    <n v="560077.5"/>
    <n v="826218.75"/>
    <n v="0"/>
    <n v="0"/>
    <n v="1424061.25"/>
    <n v="3599"/>
    <n v="3560.1531249999998"/>
    <n v="5"/>
  </r>
  <r>
    <x v="19"/>
    <x v="19"/>
    <s v="21 (MAÑANA)"/>
    <n v="59"/>
    <s v="FINAL TURNO 1"/>
    <n v="2930"/>
    <n v="7580"/>
    <n v="3190"/>
    <n v="185"/>
    <n v="250"/>
    <n v="17834"/>
    <n v="640"/>
    <n v="80"/>
    <n v="30"/>
    <n v="180"/>
    <n v="50"/>
    <n v="5"/>
    <n v="5"/>
    <n v="39"/>
    <n v="238.5"/>
    <n v="62.5"/>
    <n v="5"/>
    <n v="5"/>
    <n v="60.9375"/>
    <n v="372.65625"/>
    <n v="97.65625"/>
    <n v="7.8125"/>
    <n v="7.8125"/>
    <n v="1.3"/>
    <n v="1.325"/>
    <n v="1.25"/>
    <n v="2500"/>
    <n v="2500"/>
    <n v="830"/>
    <n v="2818"/>
    <n v="6295"/>
    <n v="19050"/>
    <n v="22050"/>
    <n v="32370"/>
    <n v="672093"/>
    <n v="393437.5"/>
    <n v="95250"/>
    <n v="110250"/>
    <n v="1303400.5"/>
    <n v="3599"/>
    <n v="2036.56328125"/>
    <n v="8"/>
  </r>
  <r>
    <x v="19"/>
    <x v="19"/>
    <s v="3(TARDE)"/>
    <n v="60"/>
    <s v="FINAL TURNO 2"/>
    <n v="2900"/>
    <n v="7400"/>
    <n v="3140"/>
    <n v="180"/>
    <n v="245"/>
    <n v="17842"/>
    <n v="560"/>
    <n v="80"/>
    <n v="10"/>
    <n v="100"/>
    <n v="20"/>
    <n v="0"/>
    <n v="10"/>
    <n v="13"/>
    <n v="132.5"/>
    <n v="25"/>
    <n v="0"/>
    <n v="10"/>
    <n v="23.214285714285715"/>
    <n v="236.60714285714286"/>
    <n v="44.642857142857146"/>
    <n v="0"/>
    <n v="17.857142857142858"/>
    <n v="1.3"/>
    <n v="1.325"/>
    <n v="1.25"/>
    <n v="2500"/>
    <n v="2500"/>
    <n v="830"/>
    <n v="2818"/>
    <n v="6295"/>
    <n v="19050"/>
    <n v="22050"/>
    <n v="10790"/>
    <n v="373385"/>
    <n v="157375"/>
    <n v="0"/>
    <n v="220500"/>
    <n v="762050"/>
    <n v="3599"/>
    <n v="1360.8035714285713"/>
    <n v="7"/>
  </r>
  <r>
    <x v="20"/>
    <x v="20"/>
    <s v="21 (NOCHE)"/>
    <n v="61"/>
    <s v="FINAL TURNO 3"/>
    <n v="2890"/>
    <n v="7300"/>
    <n v="3120"/>
    <n v="180"/>
    <n v="235"/>
    <n v="17849"/>
    <n v="400"/>
    <n v="80"/>
    <n v="90"/>
    <n v="150"/>
    <n v="120"/>
    <n v="5"/>
    <n v="5"/>
    <n v="117"/>
    <n v="198.75"/>
    <n v="150"/>
    <n v="5"/>
    <n v="5"/>
    <n v="292.5"/>
    <n v="496.875"/>
    <n v="375"/>
    <n v="12.5"/>
    <n v="12.5"/>
    <n v="1.3"/>
    <n v="1.325"/>
    <n v="1.25"/>
    <n v="2500"/>
    <n v="2500"/>
    <n v="830"/>
    <n v="2818"/>
    <n v="6295"/>
    <n v="19050"/>
    <n v="22050"/>
    <n v="97110"/>
    <n v="560077.5"/>
    <n v="944250"/>
    <n v="95250"/>
    <n v="110250"/>
    <n v="1806937.5"/>
    <n v="3599"/>
    <n v="4517.34375"/>
    <n v="5"/>
  </r>
  <r>
    <x v="20"/>
    <x v="20"/>
    <s v="22 (MAÑANA)"/>
    <n v="62"/>
    <s v="FINAL TURNO 1"/>
    <n v="2800"/>
    <n v="7030"/>
    <n v="3000"/>
    <n v="175"/>
    <n v="230"/>
    <n v="17854"/>
    <n v="480"/>
    <n v="80"/>
    <n v="130"/>
    <n v="150"/>
    <n v="50"/>
    <n v="0"/>
    <n v="5"/>
    <n v="169"/>
    <n v="198.75"/>
    <n v="62.5"/>
    <n v="0"/>
    <n v="5"/>
    <n v="352.08333333333331"/>
    <n v="414.0625"/>
    <n v="130.20833333333334"/>
    <n v="0"/>
    <n v="10.416666666666666"/>
    <n v="1.3"/>
    <n v="1.325"/>
    <n v="1.25"/>
    <n v="2500"/>
    <n v="2500"/>
    <n v="830"/>
    <n v="2818"/>
    <n v="6295"/>
    <n v="19050"/>
    <n v="22050"/>
    <n v="140270"/>
    <n v="560077.5"/>
    <n v="393437.5"/>
    <n v="0"/>
    <n v="110250"/>
    <n v="1204035"/>
    <n v="3599"/>
    <n v="2508.40625"/>
    <n v="6"/>
  </r>
  <r>
    <x v="20"/>
    <x v="20"/>
    <s v="3(TARDE)"/>
    <n v="63"/>
    <s v="FINAL TURNO 2"/>
    <n v="2670"/>
    <n v="6880"/>
    <n v="2950"/>
    <n v="175"/>
    <n v="225"/>
    <n v="17860"/>
    <n v="480"/>
    <n v="80"/>
    <n v="60"/>
    <n v="80"/>
    <n v="20"/>
    <n v="5"/>
    <n v="5"/>
    <n v="78"/>
    <n v="106"/>
    <n v="25"/>
    <n v="5"/>
    <n v="5"/>
    <n v="162.5"/>
    <n v="220.83333333333334"/>
    <n v="52.083333333333336"/>
    <n v="10.416666666666666"/>
    <n v="10.416666666666666"/>
    <n v="1.3"/>
    <n v="1.325"/>
    <n v="1.25"/>
    <n v="2500"/>
    <n v="2500"/>
    <n v="830"/>
    <n v="2818"/>
    <n v="6295"/>
    <n v="19050"/>
    <n v="22050"/>
    <n v="64740"/>
    <n v="298708"/>
    <n v="157375"/>
    <n v="95250"/>
    <n v="110250"/>
    <n v="726323"/>
    <n v="3599"/>
    <n v="1513.1729166666667"/>
    <n v="6"/>
  </r>
  <r>
    <x v="21"/>
    <x v="21"/>
    <s v="22 (NOCHE)"/>
    <n v="64"/>
    <s v="FINAL TURNO 3"/>
    <n v="2610"/>
    <n v="6800"/>
    <n v="2930"/>
    <n v="170"/>
    <n v="220"/>
    <n v="17866"/>
    <n v="480"/>
    <n v="80"/>
    <n v="110"/>
    <n v="250"/>
    <n v="130"/>
    <n v="5"/>
    <n v="5"/>
    <n v="143"/>
    <n v="331.25"/>
    <n v="162.5"/>
    <n v="5"/>
    <n v="5"/>
    <n v="297.91666666666669"/>
    <n v="690.10416666666663"/>
    <n v="338.54166666666669"/>
    <n v="10.416666666666666"/>
    <n v="10.416666666666666"/>
    <n v="1.3"/>
    <n v="1.325"/>
    <n v="1.25"/>
    <n v="2500"/>
    <n v="2500"/>
    <n v="830"/>
    <n v="2818"/>
    <n v="6295"/>
    <n v="19050"/>
    <n v="22050"/>
    <n v="118690"/>
    <n v="933462.5"/>
    <n v="1022937.5"/>
    <n v="95250"/>
    <n v="110250"/>
    <n v="2280590"/>
    <n v="3599"/>
    <n v="4751.229166666667"/>
    <n v="6"/>
  </r>
  <r>
    <x v="21"/>
    <x v="21"/>
    <s v="23 (MAÑANA)"/>
    <n v="65"/>
    <s v="FINAL TURNO 1"/>
    <n v="2500"/>
    <n v="6550"/>
    <n v="2800"/>
    <n v="165"/>
    <n v="215"/>
    <n v="17872"/>
    <n v="400"/>
    <n v="80"/>
    <n v="180"/>
    <n v="200"/>
    <n v="80"/>
    <n v="0"/>
    <n v="5"/>
    <n v="234"/>
    <n v="265"/>
    <n v="100"/>
    <n v="0"/>
    <n v="5"/>
    <n v="585"/>
    <n v="662.5"/>
    <n v="250"/>
    <n v="0"/>
    <n v="12.5"/>
    <n v="1.3"/>
    <n v="1.325"/>
    <n v="1.25"/>
    <n v="2500"/>
    <n v="2500"/>
    <n v="830"/>
    <n v="2818"/>
    <n v="6295"/>
    <n v="19050"/>
    <n v="22050"/>
    <n v="194220"/>
    <n v="746770"/>
    <n v="629500"/>
    <n v="0"/>
    <n v="110250"/>
    <n v="1680740"/>
    <n v="3599"/>
    <n v="4201.8500000000004"/>
    <n v="5"/>
  </r>
  <r>
    <x v="21"/>
    <x v="21"/>
    <s v="3(TARDE)"/>
    <n v="66"/>
    <s v="FINAL TURNO 2"/>
    <n v="2250"/>
    <n v="6350"/>
    <n v="2720"/>
    <n v="165"/>
    <n v="210"/>
    <n v="17877"/>
    <n v="640"/>
    <n v="80"/>
    <n v="20"/>
    <n v="200"/>
    <n v="80"/>
    <n v="5"/>
    <n v="5"/>
    <n v="26"/>
    <n v="265"/>
    <n v="100"/>
    <n v="5"/>
    <n v="5"/>
    <n v="40.625"/>
    <n v="414.0625"/>
    <n v="156.25"/>
    <n v="7.8125"/>
    <n v="7.8125"/>
    <n v="1.3"/>
    <n v="1.325"/>
    <n v="1.25"/>
    <n v="2500"/>
    <n v="2500"/>
    <n v="830"/>
    <n v="2818"/>
    <n v="6295"/>
    <n v="19050"/>
    <n v="22050"/>
    <n v="21580"/>
    <n v="746770"/>
    <n v="629500"/>
    <n v="95250"/>
    <n v="110250"/>
    <n v="1603350"/>
    <n v="3599"/>
    <n v="2505.234375"/>
    <n v="8"/>
  </r>
  <r>
    <x v="22"/>
    <x v="22"/>
    <s v="23 (NOCHE)"/>
    <n v="67"/>
    <s v="FINAL TURNO 3"/>
    <n v="2230"/>
    <n v="6000"/>
    <n v="2640"/>
    <n v="160"/>
    <n v="205"/>
    <n v="17885"/>
    <n v="595"/>
    <n v="85"/>
    <n v="20"/>
    <n v="150"/>
    <n v="80"/>
    <n v="5"/>
    <n v="10"/>
    <n v="26"/>
    <n v="198.75"/>
    <n v="100"/>
    <n v="5"/>
    <n v="10"/>
    <n v="43.69747899159664"/>
    <n v="334.03361344537814"/>
    <n v="168.0672268907563"/>
    <n v="8.4033613445378155"/>
    <n v="16.806722689075631"/>
    <n v="1.3"/>
    <n v="1.325"/>
    <n v="1.25"/>
    <n v="2500"/>
    <n v="2500"/>
    <n v="830"/>
    <n v="2818"/>
    <n v="6295"/>
    <n v="19050"/>
    <n v="22050"/>
    <n v="21580"/>
    <n v="560077.5"/>
    <n v="629500"/>
    <n v="95250"/>
    <n v="220500"/>
    <n v="1526907.5"/>
    <n v="3599"/>
    <n v="2566.2310924369749"/>
    <n v="7"/>
  </r>
  <r>
    <x v="22"/>
    <x v="22"/>
    <s v="24 (MAÑANA)"/>
    <n v="68"/>
    <s v="FINAL TURNO 1"/>
    <n v="2210"/>
    <n v="5850"/>
    <n v="2560"/>
    <n v="155"/>
    <n v="195"/>
    <n v="17892"/>
    <n v="450"/>
    <n v="90"/>
    <n v="190"/>
    <n v="120"/>
    <n v="60"/>
    <n v="0"/>
    <n v="0"/>
    <n v="247"/>
    <n v="159"/>
    <n v="75"/>
    <n v="0"/>
    <n v="0"/>
    <n v="548.88888888888891"/>
    <n v="353.33333333333331"/>
    <n v="166.66666666666666"/>
    <n v="0"/>
    <n v="0"/>
    <n v="1.3"/>
    <n v="1.325"/>
    <n v="1.25"/>
    <n v="2500"/>
    <n v="2500"/>
    <n v="830"/>
    <n v="2818"/>
    <n v="6295"/>
    <n v="19050"/>
    <n v="22050"/>
    <n v="205010"/>
    <n v="448062"/>
    <n v="472125"/>
    <n v="0"/>
    <n v="0"/>
    <n v="1125197"/>
    <n v="3599"/>
    <n v="2500.4377777777777"/>
    <n v="5"/>
  </r>
  <r>
    <x v="22"/>
    <x v="22"/>
    <s v="3(TARDE)"/>
    <n v="69"/>
    <s v="FINAL TURNO 2"/>
    <n v="2020"/>
    <n v="5730"/>
    <n v="2500"/>
    <n v="155"/>
    <n v="195"/>
    <n v="17897"/>
    <n v="450"/>
    <n v="90"/>
    <n v="110"/>
    <n v="90"/>
    <n v="10"/>
    <n v="5"/>
    <n v="10"/>
    <n v="143"/>
    <n v="119.25"/>
    <n v="12.5"/>
    <n v="5"/>
    <n v="10"/>
    <n v="317.77777777777777"/>
    <n v="265"/>
    <n v="27.777777777777779"/>
    <n v="11.111111111111111"/>
    <n v="22.222222222222221"/>
    <n v="1.3"/>
    <n v="1.325"/>
    <n v="1.25"/>
    <n v="2500"/>
    <n v="2500"/>
    <n v="830"/>
    <n v="2818"/>
    <n v="6295"/>
    <n v="19050"/>
    <n v="22050"/>
    <n v="118690"/>
    <n v="336046.5"/>
    <n v="78687.5"/>
    <n v="95250"/>
    <n v="220500"/>
    <n v="849174"/>
    <n v="3599"/>
    <n v="1887.0533333333333"/>
    <n v="5"/>
  </r>
  <r>
    <x v="23"/>
    <x v="23"/>
    <s v="24 (NOCHE)"/>
    <n v="70"/>
    <s v="FINAL TURNO 3"/>
    <n v="1910"/>
    <n v="5480"/>
    <n v="2490"/>
    <n v="150"/>
    <n v="185"/>
    <n v="17902"/>
    <n v="560"/>
    <n v="80"/>
    <n v="160"/>
    <n v="120"/>
    <n v="40"/>
    <n v="5"/>
    <n v="5"/>
    <n v="208"/>
    <n v="159"/>
    <n v="50"/>
    <n v="5"/>
    <n v="5"/>
    <n v="371.42857142857144"/>
    <n v="283.92857142857144"/>
    <n v="89.285714285714292"/>
    <n v="8.9285714285714288"/>
    <n v="8.9285714285714288"/>
    <n v="1.3"/>
    <n v="1.325"/>
    <n v="1.25"/>
    <n v="2500"/>
    <n v="2500"/>
    <n v="830"/>
    <n v="2818"/>
    <n v="6295"/>
    <n v="19050"/>
    <n v="22050"/>
    <n v="172640"/>
    <n v="448062"/>
    <n v="314750"/>
    <n v="95250"/>
    <n v="110250"/>
    <n v="1140952"/>
    <n v="3599"/>
    <n v="2037.4142857142858"/>
    <n v="7"/>
  </r>
  <r>
    <x v="23"/>
    <x v="23"/>
    <s v="25 (MAÑANA)"/>
    <n v="71"/>
    <s v="FINAL TURNO 1"/>
    <n v="1750"/>
    <n v="5360"/>
    <n v="2450"/>
    <n v="145"/>
    <n v="180"/>
    <n v="17909"/>
    <n v="320"/>
    <n v="80"/>
    <n v="70"/>
    <n v="110"/>
    <n v="10"/>
    <n v="0"/>
    <n v="0"/>
    <n v="91"/>
    <n v="145.75"/>
    <n v="12.5"/>
    <n v="0"/>
    <n v="0"/>
    <n v="284.375"/>
    <n v="455.46875"/>
    <n v="39.0625"/>
    <n v="0"/>
    <n v="0"/>
    <n v="1.3"/>
    <n v="1.325"/>
    <n v="1.25"/>
    <n v="2500"/>
    <n v="2500"/>
    <n v="830"/>
    <n v="2818"/>
    <n v="6295"/>
    <n v="19050"/>
    <n v="22050"/>
    <n v="75530"/>
    <n v="410723.5"/>
    <n v="78687.5"/>
    <n v="0"/>
    <n v="0"/>
    <n v="564941"/>
    <n v="3599"/>
    <n v="1765.440625"/>
    <n v="4"/>
  </r>
  <r>
    <x v="23"/>
    <x v="23"/>
    <s v="3(TARDE)"/>
    <n v="72"/>
    <s v="FINAL TURNO 2"/>
    <n v="3680"/>
    <n v="6250"/>
    <n v="2440"/>
    <n v="145"/>
    <n v="180"/>
    <n v="17913"/>
    <n v="480"/>
    <n v="80"/>
    <n v="80"/>
    <n v="80"/>
    <n v="100"/>
    <n v="0"/>
    <n v="0"/>
    <n v="104"/>
    <n v="106"/>
    <n v="125"/>
    <n v="0"/>
    <n v="0"/>
    <n v="216.66666666666666"/>
    <n v="220.83333333333334"/>
    <n v="260.41666666666669"/>
    <n v="0"/>
    <n v="0"/>
    <n v="1.3"/>
    <n v="1.325"/>
    <n v="1.25"/>
    <n v="2500"/>
    <n v="2500"/>
    <n v="830"/>
    <n v="2818"/>
    <n v="6295"/>
    <n v="19050"/>
    <n v="22050"/>
    <n v="86320"/>
    <n v="298708"/>
    <n v="786875"/>
    <n v="0"/>
    <n v="0"/>
    <n v="1171903"/>
    <n v="3599"/>
    <n v="2441.4645833333334"/>
    <n v="6"/>
  </r>
  <r>
    <x v="24"/>
    <x v="24"/>
    <s v="25 (NOCHE)"/>
    <n v="73"/>
    <s v="FINAL TURNO 3"/>
    <n v="3600"/>
    <n v="6170"/>
    <n v="2340"/>
    <n v="145"/>
    <n v="180"/>
    <n v="17919"/>
    <n v="480"/>
    <n v="80"/>
    <n v="110"/>
    <n v="190"/>
    <n v="40"/>
    <n v="5"/>
    <n v="5"/>
    <n v="143"/>
    <n v="251.75"/>
    <n v="50"/>
    <n v="5"/>
    <n v="5"/>
    <n v="297.91666666666669"/>
    <n v="524.47916666666663"/>
    <n v="104.16666666666667"/>
    <n v="10.416666666666666"/>
    <n v="10.416666666666666"/>
    <n v="1.3"/>
    <n v="1.325"/>
    <n v="1.25"/>
    <n v="2500"/>
    <n v="2500"/>
    <n v="830"/>
    <n v="2818"/>
    <n v="6295"/>
    <n v="19050"/>
    <n v="22050"/>
    <n v="118690"/>
    <n v="709431.5"/>
    <n v="314750"/>
    <n v="95250"/>
    <n v="110250"/>
    <n v="1348371.5"/>
    <n v="3599"/>
    <n v="2809.1072916666667"/>
    <n v="6"/>
  </r>
  <r>
    <x v="24"/>
    <x v="24"/>
    <s v="26 (MAÑANA)"/>
    <n v="74"/>
    <s v="FINAL TURNO 1"/>
    <n v="3490"/>
    <n v="5980"/>
    <n v="2300"/>
    <n v="140"/>
    <n v="175"/>
    <n v="17925"/>
    <n v="480"/>
    <n v="80"/>
    <n v="160"/>
    <n v="80"/>
    <n v="15"/>
    <n v="0"/>
    <n v="5"/>
    <n v="208"/>
    <n v="106"/>
    <n v="18.75"/>
    <n v="0"/>
    <n v="5"/>
    <n v="433.33333333333331"/>
    <n v="220.83333333333334"/>
    <n v="39.0625"/>
    <n v="0"/>
    <n v="10.416666666666666"/>
    <n v="1.3"/>
    <n v="1.325"/>
    <n v="1.25"/>
    <n v="2500"/>
    <n v="2500"/>
    <n v="830"/>
    <n v="2818"/>
    <n v="6295"/>
    <n v="19050"/>
    <n v="22050"/>
    <n v="172640"/>
    <n v="298708"/>
    <n v="118031.25"/>
    <n v="0"/>
    <n v="110250"/>
    <n v="699629.25"/>
    <n v="3599"/>
    <n v="1457.5609374999999"/>
    <n v="6"/>
  </r>
  <r>
    <x v="24"/>
    <x v="24"/>
    <s v="3(TARDE)"/>
    <n v="75"/>
    <s v="FINAL TURNO 2"/>
    <n v="3330"/>
    <n v="5900"/>
    <n v="2285"/>
    <n v="140"/>
    <n v="170"/>
    <n v="17931"/>
    <n v="400"/>
    <n v="80"/>
    <n v="30"/>
    <n v="140"/>
    <n v="85"/>
    <n v="0"/>
    <n v="5"/>
    <n v="39"/>
    <n v="185.5"/>
    <n v="106.25"/>
    <n v="0"/>
    <n v="5"/>
    <n v="97.5"/>
    <n v="463.75"/>
    <n v="265.625"/>
    <n v="0"/>
    <n v="12.5"/>
    <n v="1.3"/>
    <n v="1.325"/>
    <n v="1.25"/>
    <n v="2500"/>
    <n v="2500"/>
    <n v="830"/>
    <n v="2818"/>
    <n v="6295"/>
    <n v="19050"/>
    <n v="22050"/>
    <n v="32370"/>
    <n v="522739"/>
    <n v="668843.75"/>
    <n v="0"/>
    <n v="110250"/>
    <n v="1334202.75"/>
    <n v="3599"/>
    <n v="3335.506875"/>
    <n v="5"/>
  </r>
  <r>
    <x v="25"/>
    <x v="25"/>
    <s v="26 (NOCHE)"/>
    <n v="76"/>
    <s v="FINAL TURNO 3"/>
    <n v="3300"/>
    <n v="5760"/>
    <n v="2200"/>
    <n v="140"/>
    <n v="165"/>
    <n v="1793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25"/>
    <x v="25"/>
    <s v="27 (MAÑANA)"/>
    <n v="77"/>
    <s v="FINAL TURNO 1"/>
    <n v="3300"/>
    <n v="5760"/>
    <n v="2200"/>
    <n v="140"/>
    <n v="165"/>
    <n v="17936"/>
    <n v="320"/>
    <n v="80"/>
    <n v="0"/>
    <n v="40"/>
    <n v="0"/>
    <n v="5"/>
    <n v="5"/>
    <n v="0"/>
    <n v="53"/>
    <n v="0"/>
    <n v="5"/>
    <n v="5"/>
    <n v="0"/>
    <n v="165.625"/>
    <n v="0"/>
    <n v="15.625"/>
    <n v="15.625"/>
    <n v="1.3"/>
    <n v="1.325"/>
    <n v="1.25"/>
    <n v="2500"/>
    <n v="2500"/>
    <n v="830"/>
    <n v="2818"/>
    <n v="6295"/>
    <n v="19050"/>
    <n v="22050"/>
    <n v="0"/>
    <n v="149354"/>
    <n v="0"/>
    <n v="95250"/>
    <n v="110250"/>
    <n v="354854"/>
    <n v="3599"/>
    <n v="1108.91875"/>
    <n v="4"/>
  </r>
  <r>
    <x v="25"/>
    <x v="25"/>
    <s v="3(TARDE)"/>
    <n v="78"/>
    <s v="FINAL TURNO 2"/>
    <n v="3300"/>
    <n v="5720"/>
    <n v="2200"/>
    <n v="135"/>
    <n v="160"/>
    <n v="17940"/>
    <n v="480"/>
    <n v="80"/>
    <n v="230"/>
    <n v="60"/>
    <n v="30"/>
    <n v="0"/>
    <n v="5"/>
    <n v="299"/>
    <n v="79.5"/>
    <n v="37.5"/>
    <n v="0"/>
    <n v="5"/>
    <n v="622.91666666666663"/>
    <n v="165.625"/>
    <n v="78.125"/>
    <n v="0"/>
    <n v="10.416666666666666"/>
    <n v="1.3"/>
    <n v="1.325"/>
    <n v="1.25"/>
    <n v="2500"/>
    <n v="2500"/>
    <n v="830"/>
    <n v="2818"/>
    <n v="6295"/>
    <n v="19050"/>
    <n v="22050"/>
    <n v="248170"/>
    <n v="224031"/>
    <n v="236062.5"/>
    <n v="0"/>
    <n v="110250"/>
    <n v="818513.5"/>
    <n v="3599"/>
    <n v="1705.2364583333333"/>
    <n v="6"/>
  </r>
  <r>
    <x v="26"/>
    <x v="26"/>
    <s v="27 (NOCHE)"/>
    <n v="79"/>
    <s v="FINAL TURNO 3"/>
    <n v="3000"/>
    <n v="5660"/>
    <n v="2170"/>
    <n v="135"/>
    <n v="155"/>
    <n v="17946"/>
    <n v="640"/>
    <n v="80"/>
    <n v="200"/>
    <n v="220"/>
    <n v="90"/>
    <n v="5"/>
    <n v="5"/>
    <n v="260"/>
    <n v="291.5"/>
    <n v="112.5"/>
    <n v="5"/>
    <n v="5"/>
    <n v="406.25"/>
    <n v="455.46875"/>
    <n v="175.78125"/>
    <n v="7.8125"/>
    <n v="7.8125"/>
    <n v="1.3"/>
    <n v="1.325"/>
    <n v="1.25"/>
    <n v="2500"/>
    <n v="2500"/>
    <n v="830"/>
    <n v="2818"/>
    <n v="6295"/>
    <n v="19050"/>
    <n v="22050"/>
    <n v="215800"/>
    <n v="821447"/>
    <n v="708187.5"/>
    <n v="95250"/>
    <n v="110250"/>
    <n v="1950934.5"/>
    <n v="3599"/>
    <n v="3048.3351562500002"/>
    <n v="8"/>
  </r>
  <r>
    <x v="26"/>
    <x v="26"/>
    <s v="28 (MAÑANA)"/>
    <n v="80"/>
    <s v="FINAL TURNO 1"/>
    <n v="2800"/>
    <n v="5320"/>
    <n v="2080"/>
    <n v="130"/>
    <n v="150"/>
    <n v="17954"/>
    <n v="400"/>
    <n v="80"/>
    <n v="120"/>
    <n v="120"/>
    <n v="10"/>
    <n v="5"/>
    <n v="5"/>
    <n v="156"/>
    <n v="159"/>
    <n v="12.5"/>
    <n v="5"/>
    <n v="5"/>
    <n v="390"/>
    <n v="397.5"/>
    <n v="31.25"/>
    <n v="12.5"/>
    <n v="12.5"/>
    <n v="1.3"/>
    <n v="1.325"/>
    <n v="1.25"/>
    <n v="2500"/>
    <n v="2500"/>
    <n v="830"/>
    <n v="2818"/>
    <n v="6295"/>
    <n v="19050"/>
    <n v="22050"/>
    <n v="129480"/>
    <n v="448062"/>
    <n v="78687.5"/>
    <n v="95250"/>
    <n v="110250"/>
    <n v="861729.5"/>
    <n v="3599"/>
    <n v="2154.32375"/>
    <n v="5"/>
  </r>
  <r>
    <x v="26"/>
    <x v="26"/>
    <s v="3(TARDE)"/>
    <n v="81"/>
    <s v="FINAL TURNO 2"/>
    <n v="2680"/>
    <n v="5050"/>
    <n v="2070"/>
    <n v="125"/>
    <n v="145"/>
    <n v="17959"/>
    <n v="480"/>
    <n v="80"/>
    <n v="160"/>
    <n v="100"/>
    <n v="40"/>
    <n v="5"/>
    <n v="10"/>
    <n v="208"/>
    <n v="132.5"/>
    <n v="50"/>
    <n v="5"/>
    <n v="10"/>
    <n v="433.33333333333331"/>
    <n v="276.04166666666669"/>
    <n v="104.16666666666667"/>
    <n v="10.416666666666666"/>
    <n v="20.833333333333332"/>
    <n v="1.3"/>
    <n v="1.325"/>
    <n v="1.25"/>
    <n v="2500"/>
    <n v="2500"/>
    <n v="830"/>
    <n v="2818"/>
    <n v="6295"/>
    <n v="19050"/>
    <n v="22050"/>
    <n v="172640"/>
    <n v="373385"/>
    <n v="314750"/>
    <n v="95250"/>
    <n v="220500"/>
    <n v="1176525"/>
    <n v="3599"/>
    <n v="2451.09375"/>
    <n v="6"/>
  </r>
  <r>
    <x v="27"/>
    <x v="27"/>
    <s v="28 (NOCHE)"/>
    <n v="82"/>
    <s v="FINAL TURNO 3"/>
    <n v="2520"/>
    <n v="4950"/>
    <n v="2030"/>
    <n v="120"/>
    <n v="135"/>
    <n v="17965"/>
    <n v="640"/>
    <n v="80"/>
    <n v="195"/>
    <n v="210"/>
    <n v="50"/>
    <n v="0"/>
    <n v="0"/>
    <n v="253.5"/>
    <n v="278.25"/>
    <n v="62.5"/>
    <n v="0"/>
    <n v="0"/>
    <n v="396.09375"/>
    <n v="434.765625"/>
    <n v="97.65625"/>
    <n v="0"/>
    <n v="0"/>
    <n v="1.3"/>
    <n v="1.325"/>
    <n v="1.25"/>
    <n v="2500"/>
    <n v="2500"/>
    <n v="830"/>
    <n v="2818"/>
    <n v="6295"/>
    <n v="19050"/>
    <n v="22050"/>
    <n v="210405"/>
    <n v="784108.5"/>
    <n v="393437.5"/>
    <n v="0"/>
    <n v="0"/>
    <n v="1387951"/>
    <n v="3599"/>
    <n v="2168.6734375000001"/>
    <n v="8"/>
  </r>
  <r>
    <x v="27"/>
    <x v="27"/>
    <s v="29 (MAÑANA)"/>
    <n v="83"/>
    <s v="FINAL TURNO 1"/>
    <n v="2325"/>
    <n v="4740"/>
    <n v="1980"/>
    <n v="120"/>
    <n v="135"/>
    <n v="17973"/>
    <n v="480"/>
    <n v="80"/>
    <n v="195"/>
    <n v="210"/>
    <n v="50"/>
    <n v="5"/>
    <n v="5"/>
    <n v="253.5"/>
    <n v="278.25"/>
    <n v="62.5"/>
    <n v="5"/>
    <n v="5"/>
    <n v="528.125"/>
    <n v="579.6875"/>
    <n v="130.20833333333334"/>
    <n v="10.416666666666666"/>
    <n v="10.416666666666666"/>
    <n v="1.3"/>
    <n v="1.325"/>
    <n v="1.25"/>
    <n v="2500"/>
    <n v="2500"/>
    <n v="830"/>
    <n v="2818"/>
    <n v="6295"/>
    <n v="19050"/>
    <n v="22050"/>
    <n v="210405"/>
    <n v="784108.5"/>
    <n v="393437.5"/>
    <n v="95250"/>
    <n v="110250"/>
    <n v="1593451"/>
    <n v="3599"/>
    <n v="3319.6895833333333"/>
    <n v="6"/>
  </r>
  <r>
    <x v="27"/>
    <x v="27"/>
    <s v="3(TARDE)"/>
    <n v="84"/>
    <s v="FINAL TURNO 2"/>
    <n v="2130"/>
    <n v="4530"/>
    <n v="1930"/>
    <n v="115"/>
    <n v="130"/>
    <n v="17979"/>
    <n v="480"/>
    <n v="80"/>
    <n v="130"/>
    <n v="190"/>
    <n v="80"/>
    <n v="5"/>
    <n v="5"/>
    <n v="169"/>
    <n v="251.75"/>
    <n v="100"/>
    <n v="5"/>
    <n v="5"/>
    <n v="352.08333333333331"/>
    <n v="524.47916666666663"/>
    <n v="208.33333333333334"/>
    <n v="10.416666666666666"/>
    <n v="10.416666666666666"/>
    <n v="1.3"/>
    <n v="1.325"/>
    <n v="1.25"/>
    <n v="2500"/>
    <n v="2500"/>
    <n v="830"/>
    <n v="2818"/>
    <n v="6295"/>
    <n v="19050"/>
    <n v="22050"/>
    <n v="140270"/>
    <n v="709431.5"/>
    <n v="629500"/>
    <n v="95250"/>
    <n v="110250"/>
    <n v="1684701.5"/>
    <n v="3599"/>
    <n v="3509.7947916666667"/>
    <n v="6"/>
  </r>
  <r>
    <x v="28"/>
    <x v="28"/>
    <s v="29 (NOCHE)"/>
    <n v="85"/>
    <s v="FINAL TURNO 3"/>
    <n v="2000"/>
    <n v="4340"/>
    <n v="1850"/>
    <n v="110"/>
    <n v="125"/>
    <n v="17985"/>
    <n v="560"/>
    <n v="80"/>
    <n v="190"/>
    <n v="230"/>
    <n v="90"/>
    <n v="5"/>
    <n v="5"/>
    <n v="247"/>
    <n v="304.75"/>
    <n v="112.5"/>
    <n v="5"/>
    <n v="5"/>
    <n v="441.07142857142856"/>
    <n v="544.19642857142856"/>
    <n v="200.89285714285714"/>
    <n v="8.9285714285714288"/>
    <n v="8.9285714285714288"/>
    <n v="1.3"/>
    <n v="1.325"/>
    <n v="1.25"/>
    <n v="2500"/>
    <n v="2500"/>
    <n v="830"/>
    <n v="2818"/>
    <n v="6295"/>
    <n v="19050"/>
    <n v="22050"/>
    <n v="205010"/>
    <n v="858785.5"/>
    <n v="708187.5"/>
    <n v="95250"/>
    <n v="110250"/>
    <n v="1977483"/>
    <n v="3599"/>
    <n v="3531.2196428571428"/>
    <n v="7"/>
  </r>
  <r>
    <x v="28"/>
    <x v="28"/>
    <s v="30 (MAÑANA)"/>
    <n v="86"/>
    <s v="FINAL TURNO 1"/>
    <n v="1810"/>
    <n v="4110"/>
    <n v="1760"/>
    <n v="105"/>
    <n v="120"/>
    <n v="17992"/>
    <n v="560"/>
    <n v="80"/>
    <n v="10"/>
    <n v="110"/>
    <n v="100"/>
    <n v="5"/>
    <n v="5"/>
    <n v="13"/>
    <n v="145.75"/>
    <n v="125"/>
    <n v="5"/>
    <n v="5"/>
    <n v="23.214285714285715"/>
    <n v="260.26785714285717"/>
    <n v="223.21428571428572"/>
    <n v="8.9285714285714288"/>
    <n v="8.9285714285714288"/>
    <n v="1.3"/>
    <n v="1.325"/>
    <n v="1.25"/>
    <n v="2500"/>
    <n v="2500"/>
    <n v="830"/>
    <n v="2818"/>
    <n v="6295"/>
    <n v="19050"/>
    <n v="22050"/>
    <n v="10790"/>
    <n v="410723.5"/>
    <n v="786875"/>
    <n v="95250"/>
    <n v="110250"/>
    <n v="1413888.5"/>
    <n v="3599"/>
    <n v="2524.800892857143"/>
    <n v="7"/>
  </r>
  <r>
    <x v="28"/>
    <x v="28"/>
    <s v="3(TARDE)"/>
    <n v="87"/>
    <s v="FINAL TURNO 2"/>
    <n v="1800"/>
    <n v="4000"/>
    <n v="1660"/>
    <n v="100"/>
    <n v="115"/>
    <n v="17999"/>
    <n v="560"/>
    <n v="80"/>
    <n v="60"/>
    <n v="190"/>
    <n v="60"/>
    <n v="5"/>
    <n v="5"/>
    <n v="78"/>
    <n v="251.75"/>
    <n v="75"/>
    <n v="5"/>
    <n v="5"/>
    <n v="139.28571428571428"/>
    <n v="449.55357142857144"/>
    <n v="133.92857142857142"/>
    <n v="8.9285714285714288"/>
    <n v="8.9285714285714288"/>
    <n v="1.3"/>
    <n v="1.325"/>
    <n v="1.25"/>
    <n v="2500"/>
    <n v="2500"/>
    <n v="830"/>
    <n v="2818"/>
    <n v="6295"/>
    <n v="19050"/>
    <n v="22050"/>
    <n v="64740"/>
    <n v="709431.5"/>
    <n v="472125"/>
    <n v="95250"/>
    <n v="110250"/>
    <n v="1451796.5"/>
    <n v="3599"/>
    <n v="2592.4937500000001"/>
    <n v="7"/>
  </r>
  <r>
    <x v="29"/>
    <x v="29"/>
    <s v="30 (NOCHE)"/>
    <n v="88"/>
    <s v="FINAL TURNO 3"/>
    <n v="1740"/>
    <n v="3810"/>
    <n v="1600"/>
    <n v="95"/>
    <n v="110"/>
    <n v="18006"/>
    <n v="560"/>
    <n v="80"/>
    <n v="130"/>
    <n v="200"/>
    <n v="50"/>
    <n v="5"/>
    <n v="5"/>
    <n v="169"/>
    <n v="265"/>
    <n v="62.5"/>
    <n v="5"/>
    <n v="5"/>
    <n v="301.78571428571428"/>
    <n v="473.21428571428572"/>
    <n v="111.60714285714286"/>
    <n v="8.9285714285714288"/>
    <n v="8.9285714285714288"/>
    <n v="1.3"/>
    <n v="1.325"/>
    <n v="1.25"/>
    <n v="2500"/>
    <n v="2500"/>
    <n v="830"/>
    <n v="2818"/>
    <n v="6295"/>
    <n v="19050"/>
    <n v="22050"/>
    <n v="140270"/>
    <n v="746770"/>
    <n v="393437.5"/>
    <n v="95250"/>
    <n v="110250"/>
    <n v="1485977.5"/>
    <n v="3599"/>
    <n v="2653.53125"/>
    <n v="7"/>
  </r>
  <r>
    <x v="29"/>
    <x v="29"/>
    <s v="31 (MAÑANA)"/>
    <n v="89"/>
    <s v="FINAL TURNO 1"/>
    <n v="1610"/>
    <n v="3510"/>
    <n v="1550"/>
    <n v="90"/>
    <n v="105"/>
    <n v="18013"/>
    <n v="560"/>
    <n v="80"/>
    <n v="130"/>
    <n v="210"/>
    <n v="50"/>
    <n v="5"/>
    <n v="5"/>
    <n v="169"/>
    <n v="278.25"/>
    <n v="62.5"/>
    <n v="5"/>
    <n v="5"/>
    <n v="301.78571428571428"/>
    <n v="496.875"/>
    <n v="111.60714285714286"/>
    <n v="8.9285714285714288"/>
    <n v="8.9285714285714288"/>
    <n v="1.3"/>
    <n v="1.325"/>
    <n v="1.25"/>
    <n v="2500"/>
    <n v="2500"/>
    <n v="830"/>
    <n v="2818"/>
    <n v="6295"/>
    <n v="19050"/>
    <n v="22050"/>
    <n v="140270"/>
    <n v="784108.5"/>
    <n v="393437.5"/>
    <n v="95250"/>
    <n v="110250"/>
    <n v="1523316"/>
    <n v="3599"/>
    <n v="2720.207142857143"/>
    <n v="7"/>
  </r>
  <r>
    <x v="29"/>
    <x v="29"/>
    <s v="3(TARDE)"/>
    <n v="90"/>
    <s v="FINAL TURNO 2"/>
    <n v="1480"/>
    <n v="3300"/>
    <n v="1500"/>
    <n v="85"/>
    <n v="100"/>
    <n v="18020"/>
    <n v="400"/>
    <n v="80"/>
    <n v="80"/>
    <n v="120"/>
    <n v="60"/>
    <n v="5"/>
    <n v="5"/>
    <n v="104"/>
    <n v="159"/>
    <n v="75"/>
    <n v="5"/>
    <n v="5"/>
    <n v="260"/>
    <n v="397.5"/>
    <n v="187.5"/>
    <n v="12.5"/>
    <n v="12.5"/>
    <n v="1.3"/>
    <n v="1.325"/>
    <n v="1.25"/>
    <n v="2500"/>
    <n v="2500"/>
    <n v="830"/>
    <n v="2818"/>
    <n v="6295"/>
    <n v="19050"/>
    <n v="22050"/>
    <n v="86320"/>
    <n v="448062"/>
    <n v="472125"/>
    <n v="95250"/>
    <n v="110250"/>
    <n v="1212007"/>
    <n v="3599"/>
    <n v="3030.0174999999999"/>
    <n v="5"/>
  </r>
  <r>
    <x v="30"/>
    <x v="30"/>
    <s v="31 (NOCHE)"/>
    <n v="91"/>
    <s v="FINAL TURNO 3"/>
    <n v="1400"/>
    <n v="3180"/>
    <n v="1440"/>
    <n v="80"/>
    <n v="95"/>
    <n v="18025"/>
    <n v="-1442000"/>
    <n v="80"/>
    <n v="1400"/>
    <n v="3180"/>
    <n v="1440"/>
    <n v="80"/>
    <n v="95"/>
    <n v="1820"/>
    <n v="4213.5"/>
    <n v="1800"/>
    <n v="80"/>
    <n v="95"/>
    <n v="-1.2621359223300972"/>
    <n v="-2.9219833564493758"/>
    <n v="-1.248266296809986"/>
    <n v="-5.5478502080443831E-2"/>
    <n v="-6.5880721220527044E-2"/>
    <n v="1.3"/>
    <n v="1.325"/>
    <n v="1.25"/>
    <n v="2500"/>
    <n v="2500"/>
    <n v="830"/>
    <n v="2818"/>
    <n v="6295"/>
    <n v="19050"/>
    <n v="22050"/>
    <n v="1510600"/>
    <n v="11873643"/>
    <n v="11331000"/>
    <n v="1524000"/>
    <n v="2094750"/>
    <n v="28333993"/>
    <n v="3599"/>
    <n v="-19.649093619972259"/>
    <n v="-18025"/>
  </r>
  <r>
    <x v="30"/>
    <x v="30"/>
    <s v="32 (MAÑANA)"/>
    <n v="92"/>
    <s v="FINAL TURNO 1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0"/>
    <x v="30"/>
    <s v="3(TARDE)"/>
    <n v="93"/>
    <s v="FINAL TURNO 2"/>
    <m/>
    <m/>
    <m/>
    <m/>
    <m/>
    <m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  <n v="0"/>
  </r>
  <r>
    <x v="31"/>
    <x v="31"/>
    <m/>
    <m/>
    <m/>
    <m/>
    <m/>
    <m/>
    <m/>
    <m/>
    <m/>
    <n v="0"/>
    <m/>
    <n v="0"/>
    <m/>
    <m/>
    <n v="0"/>
    <m/>
    <n v="0"/>
    <n v="0"/>
    <n v="0"/>
    <n v="0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  <r>
    <x v="31"/>
    <x v="31"/>
    <m/>
    <m/>
    <m/>
    <m/>
    <m/>
    <m/>
    <m/>
    <m/>
    <m/>
    <n v="0"/>
    <m/>
    <n v="-2160"/>
    <m/>
    <m/>
    <n v="-205"/>
    <m/>
    <n v="-2808"/>
    <n v="0"/>
    <n v="0"/>
    <n v="-205"/>
    <n v="0"/>
    <e v="#DIV/0!"/>
    <e v="#DIV/0!"/>
    <e v="#DIV/0!"/>
    <e v="#DIV/0!"/>
    <e v="#DIV/0!"/>
    <m/>
    <m/>
    <m/>
    <m/>
    <m/>
    <m/>
    <m/>
    <m/>
    <m/>
    <m/>
    <n v="0"/>
    <n v="0"/>
    <n v="0"/>
    <n v="0"/>
    <n v="0"/>
    <n v="0"/>
    <m/>
    <e v="#DIV/0!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23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66" rowHeaderCaption="DÍA">
  <location ref="AT4:AW35" firstHeaderRow="0" firstDataRow="1" firstDataCol="1"/>
  <pivotFields count="63">
    <pivotField numFmtId="14"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x="31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9" baseField="0" baseItem="0"/>
    <dataField name=" LIMITE INDICADOR M3" fld="52" subtotal="min" baseField="0" baseItem="0" numFmtId="167"/>
    <dataField name=" INDICADOR $m3 RO" fld="54" baseField="0" baseItem="0" numFmtId="166"/>
  </dataFields>
  <formats count="3">
    <format dxfId="561">
      <pivotArea field="1" type="button" dataOnly="0" labelOnly="1" outline="0" axis="axisRow" fieldPosition="0"/>
    </format>
    <format dxfId="56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91EE-9494-41C8-A64E-C25951BC636A}" name="TablaDinámica9" cacheId="24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7" rowHeaderCaption="DIA">
  <location ref="AP4:AR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HORAS DE OPERACIÓN " fld="46" baseField="0" baseItem="0"/>
  </dataFields>
  <formats count="23">
    <format dxfId="584">
      <pivotArea outline="0" collapsedLevelsAreSubtotals="1" fieldPosition="0"/>
    </format>
    <format dxfId="583">
      <pivotArea outline="0" collapsedLevelsAreSubtotals="1" fieldPosition="0"/>
    </format>
    <format dxfId="582">
      <pivotArea type="all" dataOnly="0" outline="0" fieldPosition="0"/>
    </format>
    <format dxfId="581">
      <pivotArea outline="0" collapsedLevelsAreSubtotals="1" fieldPosition="0"/>
    </format>
    <format dxfId="580">
      <pivotArea field="1" type="button" dataOnly="0" labelOnly="1" outline="0" axis="axisRow" fieldPosition="0"/>
    </format>
    <format dxfId="57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8">
      <pivotArea dataOnly="0" labelOnly="1" grandRow="1" outline="0" fieldPosition="0"/>
    </format>
    <format dxfId="577">
      <pivotArea type="all" dataOnly="0" outline="0" fieldPosition="0"/>
    </format>
    <format dxfId="576">
      <pivotArea outline="0" collapsedLevelsAreSubtotals="1" fieldPosition="0"/>
    </format>
    <format dxfId="575">
      <pivotArea field="1" type="button" dataOnly="0" labelOnly="1" outline="0" axis="axisRow" fieldPosition="0"/>
    </format>
    <format dxfId="57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73">
      <pivotArea dataOnly="0" labelOnly="1" grandRow="1" outline="0" fieldPosition="0"/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69">
      <pivotArea dataOnly="0" labelOnly="1" grandRow="1" outline="0" fieldPosition="0"/>
    </format>
    <format dxfId="568">
      <pivotArea field="1" type="button" dataOnly="0" labelOnly="1" outline="0" axis="axisRow" fieldPosition="0"/>
    </format>
    <format dxfId="567">
      <pivotArea type="all" dataOnly="0" outline="0" fieldPosition="0"/>
    </format>
    <format dxfId="566">
      <pivotArea outline="0" collapsedLevelsAreSubtotals="1" fieldPosition="0"/>
    </format>
    <format dxfId="565">
      <pivotArea field="1" type="button" dataOnly="0" labelOnly="1" outline="0" axis="axisRow" fieldPosition="0"/>
    </format>
    <format dxfId="56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63">
      <pivotArea dataOnly="0" labelOnly="1" grandRow="1" outline="0" fieldPosition="0"/>
    </format>
    <format dxfId="56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6B5F-45CD-412F-BF77-980020224C02}" name="TablaDinámica5" cacheId="24" applyNumberFormats="0" applyBorderFormats="0" applyFontFormats="0" applyPatternFormats="0" applyAlignmentFormats="0" applyWidthHeightFormats="1" dataCaption="Valores" errorCaption="-" missingCaption="0" showMissing="0" updatedVersion="8" minRefreshableVersion="3" useAutoFormatting="1" itemPrintTitles="1" createdVersion="8" indent="0" outline="1" outlineData="1" multipleFieldFilters="0" chartFormat="131" rowHeaderCaption="DIA">
  <location ref="BH4:BJ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TRATADO GEM  (m3)" fld="11" baseField="0" baseItem="0"/>
    <dataField name="COSTO QUIMICA  GEM" fld="43" baseField="0" baseItem="0"/>
  </dataFields>
  <formats count="24">
    <format dxfId="608">
      <pivotArea outline="0" collapsedLevelsAreSubtotals="1" fieldPosition="0"/>
    </format>
    <format dxfId="607">
      <pivotArea outline="0" collapsedLevelsAreSubtotals="1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field="1" type="button" dataOnly="0" labelOnly="1" outline="0" axis="axisRow" fieldPosition="0"/>
    </format>
    <format dxfId="603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02">
      <pivotArea dataOnly="0" labelOnly="1" grandRow="1" outline="0" fieldPosition="0"/>
    </format>
    <format dxfId="601">
      <pivotArea type="all" dataOnly="0" outline="0" fieldPosition="0"/>
    </format>
    <format dxfId="600">
      <pivotArea outline="0" collapsedLevelsAreSubtotals="1" fieldPosition="0"/>
    </format>
    <format dxfId="599">
      <pivotArea field="1" type="button" dataOnly="0" labelOnly="1" outline="0" axis="axisRow" fieldPosition="0"/>
    </format>
    <format dxfId="59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7">
      <pivotArea dataOnly="0" labelOnly="1" grandRow="1" outline="0" fieldPosition="0"/>
    </format>
    <format dxfId="596">
      <pivotArea type="all" dataOnly="0" outline="0" fieldPosition="0"/>
    </format>
    <format dxfId="595">
      <pivotArea outline="0" collapsedLevelsAreSubtotals="1" fieldPosition="0"/>
    </format>
    <format dxfId="59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93">
      <pivotArea dataOnly="0" labelOnly="1" grandRow="1" outline="0" fieldPosition="0"/>
    </format>
    <format dxfId="592">
      <pivotArea type="all" dataOnly="0" outline="0" fieldPosition="0"/>
    </format>
    <format dxfId="591">
      <pivotArea outline="0" collapsedLevelsAreSubtotals="1" fieldPosition="0"/>
    </format>
    <format dxfId="59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589">
      <pivotArea dataOnly="0" labelOnly="1" grandRow="1" outline="0" fieldPosition="0"/>
    </format>
    <format dxfId="5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7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  <format dxfId="586">
      <pivotArea field="1" type="button" dataOnly="0" labelOnly="1" outline="0" axis="axisRow" fieldPosition="0"/>
    </format>
    <format dxfId="585">
      <pivotArea dataOnly="0" labelOnly="1" fieldPosition="0">
        <references count="1">
          <reference field="1" count="1">
            <x v="11"/>
          </reference>
        </references>
      </pivotArea>
    </format>
  </formats>
  <chartFormats count="1">
    <chartFormat chart="1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6452-6403-4D7B-902A-DAA0A37FFAD5}" name="TablaDinámica4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C4:BF35" firstHeaderRow="0" firstDataRow="1" firstDataCol="1"/>
  <pivotFields count="63">
    <pivotField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OLUMEN ENVIADO A RO (m3) " fld="9" baseField="0" baseItem="0"/>
    <dataField name="TIEMPO DE OPERACIÓN" fld="8" baseField="0" baseItem="0" numFmtId="2"/>
    <dataField name="COSTO QUIMICA  " fld="51" baseField="0" baseItem="0" numFmtId="4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24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colGrandTotals="0" itemPrintTitles="1" createdVersion="8" indent="0" outline="1" outlineData="1" multipleFieldFilters="0" chartFormat="138" rowHeaderCaption="DIA">
  <location ref="AJ4:AM35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AUDAL TOTAL TRATADO GEM " fld="11" baseField="0" baseItem="0"/>
    <dataField name="  INDICADOR $m3" fld="48" baseField="0" baseItem="0" numFmtId="3"/>
    <dataField name="  2025 $m3 GEM " fld="44" subtotal="min" baseField="0" baseItem="0" numFmtId="166"/>
  </dataFields>
  <formats count="35">
    <format dxfId="643">
      <pivotArea outline="0" collapsedLevelsAreSubtotals="1" fieldPosition="0"/>
    </format>
    <format dxfId="6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1">
      <pivotArea outline="0" collapsedLevelsAreSubtotals="1" fieldPosition="0"/>
    </format>
    <format dxfId="6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38">
      <pivotArea type="all" dataOnly="0" outline="0" fieldPosition="0"/>
    </format>
    <format dxfId="637">
      <pivotArea outline="0" collapsedLevelsAreSubtotals="1" fieldPosition="0"/>
    </format>
    <format dxfId="636">
      <pivotArea field="1" type="button" dataOnly="0" labelOnly="1" outline="0" axis="axisRow" fieldPosition="0"/>
    </format>
    <format dxfId="635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34">
      <pivotArea dataOnly="0" labelOnly="1" grandRow="1" outline="0" fieldPosition="0"/>
    </format>
    <format dxfId="6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2">
      <pivotArea type="all" dataOnly="0" outline="0" fieldPosition="0"/>
    </format>
    <format dxfId="631">
      <pivotArea outline="0" collapsedLevelsAreSubtotals="1" fieldPosition="0"/>
    </format>
    <format dxfId="630">
      <pivotArea field="1" type="button" dataOnly="0" labelOnly="1" outline="0" axis="axisRow" fieldPosition="0"/>
    </format>
    <format dxfId="62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8">
      <pivotArea dataOnly="0" labelOnly="1" grandRow="1" outline="0" fieldPosition="0"/>
    </format>
    <format dxfId="6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6">
      <pivotArea type="all" dataOnly="0" outline="0" fieldPosition="0"/>
    </format>
    <format dxfId="625">
      <pivotArea outline="0" collapsedLevelsAreSubtotals="1" fieldPosition="0"/>
    </format>
    <format dxfId="62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23">
      <pivotArea dataOnly="0" labelOnly="1" grandRow="1" outline="0" fieldPosition="0"/>
    </format>
    <format dxfId="622">
      <pivotArea field="1" type="button" dataOnly="0" labelOnly="1" outline="0" axis="axisRow" fieldPosition="0"/>
    </format>
    <format dxfId="6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0">
      <pivotArea type="all" dataOnly="0" outline="0" fieldPosition="0"/>
    </format>
    <format dxfId="619">
      <pivotArea outline="0" collapsedLevelsAreSubtotals="1" fieldPosition="0"/>
    </format>
    <format dxfId="618">
      <pivotArea field="1" type="button" dataOnly="0" labelOnly="1" outline="0" axis="axisRow" fieldPosition="0"/>
    </format>
    <format dxfId="617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616">
      <pivotArea dataOnly="0" labelOnly="1" grandRow="1" outline="0" fieldPosition="0"/>
    </format>
    <format dxfId="6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2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61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F70FC-172B-4311-A5CA-3A69E29C0D11}" name="TablaDiná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Y4:BA35" firstHeaderRow="0" firstDataRow="1" firstDataCol="1"/>
  <pivotFields count="63">
    <pivotField showAll="0">
      <items count="401"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axis="axisRow" numFmtId="1" showAll="0">
      <items count="33"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dataFiel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  <pivotField showAll="0" defaultSubtotal="0">
      <items count="3">
        <item x="1"/>
        <item x="0"/>
        <item x="2"/>
      </items>
    </pivotField>
  </pivotFields>
  <rowFields count="1">
    <field x="1"/>
  </rowFields>
  <rowItems count="3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2">
    <i>
      <x/>
    </i>
    <i i="1">
      <x v="1"/>
    </i>
  </colItems>
  <dataFields count="2">
    <dataField name="VOLUMEN ENVIADO A RO (m3) " fld="9" baseField="0" baseItem="0"/>
    <dataField name="TIEMPO DE OPERACIÓN" fld="8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8D28C-06B2-47A4-A8C7-96F56DDA066C}" name="TablaDinámica6" cacheId="24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8" rowHeaderCaption="DIA">
  <location ref="AD3:AJ34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NSUMO POL CATIONICO (KG) " fld="17" baseField="0" baseItem="0" numFmtId="3"/>
    <dataField name="CONSUMO POL ANIONICO (KG) " fld="16" baseField="0" baseItem="0" numFmtId="3"/>
    <dataField name="CONSUMO LITROS ACIDO (L) " fld="13" baseField="0" baseItem="0" numFmtId="3"/>
    <dataField name="CONSUMO LITROS COAGULANTE (L) " fld="14" baseField="0" baseItem="0" numFmtId="3"/>
    <dataField name="CONSUMO LITROS DECOLORANTE (L) " fld="15" baseField="0" baseItem="0" numFmtId="3"/>
    <dataField name=" INDICADOR $m3 " fld="48" baseField="0" baseItem="0"/>
  </dataFields>
  <formats count="4">
    <format dxfId="430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29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28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42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9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2B3D3-1C65-4A13-8A25-264C8AB3668A}" name="TablaDinámica10" cacheId="24" applyNumberFormats="0" applyBorderFormats="0" applyFontFormats="0" applyPatternFormats="0" applyAlignmentFormats="0" applyWidthHeightFormats="1" dataCaption="Valores" errorCaption="0" showError="1" missingCaption="0" showMissing="0" updatedVersion="8" minRefreshableVersion="3" useAutoFormatting="1" itemPrintTitles="1" createdVersion="8" indent="0" outline="1" outlineData="1" multipleFieldFilters="0" chartFormat="136" rowHeaderCaption="DIA">
  <location ref="AT3:AZ34" firstHeaderRow="0" firstDataRow="1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INDICADOR $m3 " fld="48" baseField="0" baseItem="0" numFmtId="167"/>
    <dataField name="INDICADOR $ACIDO/M3 " fld="55" baseField="0" baseItem="0" numFmtId="167"/>
    <dataField name=" INDICADOR $COAGULANTE/M3 " fld="56" baseField="0" baseItem="0" numFmtId="167"/>
    <dataField name="INDICADOR $DECOLORANTE/M3 " fld="57" baseField="0" baseItem="0" numFmtId="167"/>
    <dataField name="INDICADOR $POL ANIONICO/ M3 " fld="58" baseField="0" baseItem="0" numFmtId="167"/>
    <dataField name=" INDICADOR $POL CATIONICO / M3 " fld="59" baseField="0" baseItem="0" numFmtId="167"/>
  </dataFields>
  <formats count="26">
    <format dxfId="456">
      <pivotArea outline="0" collapsedLevelsAreSubtotals="1" fieldPosition="0"/>
    </format>
    <format dxfId="455">
      <pivotArea outline="0" collapsedLevelsAreSubtotals="1" fieldPosition="0"/>
    </format>
    <format dxfId="454">
      <pivotArea type="all" dataOnly="0" outline="0" fieldPosition="0"/>
    </format>
    <format dxfId="453">
      <pivotArea outline="0" collapsedLevelsAreSubtotals="1" fieldPosition="0"/>
    </format>
    <format dxfId="452">
      <pivotArea field="1" type="button" dataOnly="0" labelOnly="1" outline="0" axis="axisRow" fieldPosition="0"/>
    </format>
    <format dxfId="45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50">
      <pivotArea dataOnly="0" labelOnly="1" grandRow="1" outline="0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1" type="button" dataOnly="0" labelOnly="1" outline="0" axis="axisRow" fieldPosition="0"/>
    </format>
    <format dxfId="44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5">
      <pivotArea dataOnly="0" labelOnly="1" grandRow="1" outline="0" fieldPosition="0"/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1">
      <pivotArea dataOnly="0" labelOnly="1" grandRow="1" outline="0" fieldPosition="0"/>
    </format>
    <format dxfId="440">
      <pivotArea type="all" dataOnly="0" outline="0" fieldPosition="0"/>
    </format>
    <format dxfId="439">
      <pivotArea outline="0" collapsedLevelsAreSubtotals="1" fieldPosition="0"/>
    </format>
    <format dxfId="438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37">
      <pivotArea dataOnly="0" labelOnly="1" grandRow="1" outline="0" fieldPosition="0"/>
    </format>
    <format dxfId="436">
      <pivotArea field="1" type="button" dataOnly="0" labelOnly="1" outline="0" axis="axisRow" fieldPosition="0"/>
    </format>
    <format dxfId="435">
      <pivotArea dataOnly="0" labelOnly="1" fieldPosition="0">
        <references count="1">
          <reference field="1" count="1">
            <x v="11"/>
          </reference>
        </references>
      </pivotArea>
    </format>
    <format dxfId="43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3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32">
      <pivotArea dataOnly="0" fieldPosition="0">
        <references count="1">
          <reference field="1" count="0"/>
        </references>
      </pivotArea>
    </format>
    <format dxfId="431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</formats>
  <chartFormats count="6">
    <chartFormat chart="13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3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3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3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D9CA-4B55-4A5B-A9E2-E67ECFD60FC9}" name="TablaDinámica5" cacheId="24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4" rowHeaderCaption="DIA">
  <location ref="V3:AB34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 sortType="ascending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COF 494 - PPM POL CATIONICO " fld="53" baseField="0" baseItem="0" numFmtId="3"/>
    <dataField name="COF 440 - PPM POL ANIONICO " fld="52" baseField="0" baseItem="0" numFmtId="3"/>
    <dataField name="COF 280 - PPM ACIDO " fld="49" baseField="0" baseItem="0" numFmtId="3"/>
    <dataField name="COF 235 - PPM COAGULANTE  " fld="50" baseField="0" baseItem="0" numFmtId="3"/>
    <dataField name="COF 255 - PPM DECOLORANTE " fld="51" baseField="0" baseItem="0" numFmtId="3"/>
    <dataField name=" INDICADOR $m3 " fld="48" baseField="0" baseItem="0"/>
  </dataFields>
  <formats count="3">
    <format dxfId="459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58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57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6"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CB2C0-F69E-4409-8B70-C0EC306C9BF1}" name="TablaDinámica7" cacheId="24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17" rowHeaderCaption="DIA">
  <location ref="AL3:AR34" firstHeaderRow="0" firstDataRow="1" firstDataCol="1" rowPageCount="1" colPageCount="1"/>
  <pivotFields count="60">
    <pivotField axis="axisPage" numFmtId="14" multipleItemSelectionAllowed="1"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Row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numFmtId="3" showAll="0"/>
    <pivotField showAll="0"/>
    <pivotField numFmtId="3" showAll="0"/>
    <pivotField numFmtId="3" showAll="0"/>
    <pivotField numFmtId="3" showAll="0"/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showAll="0"/>
    <pivotField showAll="0"/>
    <pivotField showAll="0"/>
    <pivotField showAll="0"/>
    <pivotField showAll="0"/>
    <pivotField numFmtId="169" showAll="0"/>
    <pivotField numFmtId="169" showAll="0"/>
    <pivotField numFmtId="169" showAll="0"/>
    <pivotField numFmtId="3" showAll="0"/>
    <pivotField numFmtId="3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KG POL CATIONICO  " fld="22" baseField="0" baseItem="0" numFmtId="3"/>
    <dataField name="KG POL ANIONICO  " fld="21" baseField="0" baseItem="0" numFmtId="3"/>
    <dataField name="KG ACIDO " fld="18" baseField="0" baseItem="0" numFmtId="3"/>
    <dataField name="KG COAGULANTE " fld="19" baseField="0" baseItem="0" numFmtId="3"/>
    <dataField name="KG DECOLORANTE  " fld="20" baseField="0" baseItem="0" numFmtId="3"/>
    <dataField name=" INDICADOR $m3 " fld="48" baseField="0" baseItem="0"/>
  </dataFields>
  <formats count="3">
    <format dxfId="462">
      <pivotArea collapsedLevelsAreSubtotals="1" fieldPosition="0">
        <references count="2">
          <reference field="4294967294" count="1" selected="0">
            <x v="5"/>
          </reference>
          <reference field="1" count="1">
            <x v="0"/>
          </reference>
        </references>
      </pivotArea>
    </format>
    <format dxfId="461">
      <pivotArea collapsedLevelsAreSubtotals="1" fieldPosition="0">
        <references count="2">
          <reference field="4294967294" count="1" selected="0">
            <x v="5"/>
          </reference>
          <reference field="1" count="3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6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chartFormats count="11"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5"/>
          </reference>
          <reference field="1" count="1" selected="0">
            <x v="18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4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24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F10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7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  <dataField name="CAUDAL TOTAL TRATADO GEM  " fld="11" baseField="0" baseItem="0"/>
    <dataField name="INDICADOR $m3 " fld="48" baseField="0" baseItem="0"/>
  </dataFields>
  <formats count="27"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1" type="button" dataOnly="0" labelOnly="1" outline="0" axis="axisCol" fieldPosition="0"/>
    </format>
    <format dxfId="265">
      <pivotArea type="topRight" dataOnly="0" labelOnly="1" outline="0" fieldPosition="0"/>
    </format>
    <format dxfId="2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63">
      <pivotArea dataOnly="0" labelOnly="1" fieldPosition="0">
        <references count="1">
          <reference field="1" count="0"/>
        </references>
      </pivotArea>
    </format>
    <format dxfId="262">
      <pivotArea dataOnly="0" labelOnly="1" grandCol="1" outline="0" fieldPosition="0"/>
    </format>
    <format dxfId="261">
      <pivotArea outline="0" collapsedLevelsAreSubtotals="1" fieldPosition="0"/>
    </format>
    <format dxfId="26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9">
      <pivotArea dataOnly="0" labelOnly="1" fieldPosition="0">
        <references count="1">
          <reference field="1" count="0"/>
        </references>
      </pivotArea>
    </format>
    <format dxfId="258">
      <pivotArea dataOnly="0" labelOnly="1" grandCol="1" outline="0" fieldPosition="0"/>
    </format>
    <format dxfId="257">
      <pivotArea type="origin" dataOnly="0" labelOnly="1" outline="0" fieldPosition="0"/>
    </format>
    <format dxfId="256">
      <pivotArea field="-2" type="button" dataOnly="0" labelOnly="1" outline="0" axis="axisRow" fieldPosition="0"/>
    </format>
    <format dxfId="255">
      <pivotArea type="origin" dataOnly="0" labelOnly="1" outline="0" fieldPosition="0"/>
    </format>
    <format dxfId="254">
      <pivotArea field="-2" type="button" dataOnly="0" labelOnly="1" outline="0" axis="axisRow" fieldPosition="0"/>
    </format>
    <format dxfId="253">
      <pivotArea field="1" type="button" dataOnly="0" labelOnly="1" outline="0" axis="axisCol" fieldPosition="0"/>
    </format>
    <format dxfId="252">
      <pivotArea type="topRight" dataOnly="0" labelOnly="1" outline="0" fieldPosition="0"/>
    </format>
    <format dxfId="251">
      <pivotArea dataOnly="0" labelOnly="1" fieldPosition="0">
        <references count="1">
          <reference field="1" count="0"/>
        </references>
      </pivotArea>
    </format>
    <format dxfId="250">
      <pivotArea dataOnly="0" labelOnly="1" grandCol="1" outline="0" fieldPosition="0"/>
    </format>
    <format dxfId="249">
      <pivotArea outline="0" collapsedLevelsAreSubtotals="1" fieldPosition="0"/>
    </format>
    <format dxfId="248">
      <pivotArea dataOnly="0" labelOnly="1" fieldPosition="0">
        <references count="1">
          <reference field="1" count="0"/>
        </references>
      </pivotArea>
    </format>
    <format dxfId="247">
      <pivotArea dataOnly="0" labelOnly="1" grandCol="1" outline="0" fieldPosition="0"/>
    </format>
    <format dxfId="246">
      <pivotArea dataOnly="0" labelOnly="1" fieldPosition="0">
        <references count="1">
          <reference field="1" count="0"/>
        </references>
      </pivotArea>
    </format>
    <format dxfId="245">
      <pivotArea dataOnly="0" labelOnly="1" grandCol="1" outline="0" fieldPosition="0"/>
    </format>
    <format dxfId="2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3">
      <pivotArea field="-2" type="button" dataOnly="0" labelOnly="1" outline="0" axis="axisRow" fieldPosition="0"/>
    </format>
    <format dxfId="242">
      <pivotArea collapsedLevelsAreSubtotals="1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24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3:AF21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7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  <dataField name="CAUDAL TOTAL TRATADO GEM  " fld="11" baseField="0" baseItem="0"/>
    <dataField name="INDICADOR $m3 " fld="48" baseField="0" baseItem="0"/>
  </dataFields>
  <formats count="64">
    <format dxfId="332">
      <pivotArea field="0" type="button" dataOnly="0" labelOnly="1" outline="0"/>
    </format>
    <format dxfId="331">
      <pivotArea field="0" type="button" dataOnly="0" labelOnly="1" outline="0"/>
    </format>
    <format dxfId="330">
      <pivotArea field="0" type="button" dataOnly="0" labelOnly="1" outline="0"/>
    </format>
    <format dxfId="32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6">
      <pivotArea field="0" type="button" dataOnly="0" labelOnly="1" outline="0"/>
    </format>
    <format dxfId="32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0" type="button" dataOnly="0" labelOnly="1" outline="0"/>
    </format>
    <format dxfId="321">
      <pivotArea dataOnly="0" labelOnly="1" grandRow="1" outline="0" fieldPosition="0"/>
    </format>
    <format dxfId="3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9">
      <pivotArea field="0" type="button" dataOnly="0" labelOnly="1" outline="0"/>
    </format>
    <format dxfId="3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7">
      <pivotArea field="0" type="button" dataOnly="0" labelOnly="1" outline="0"/>
    </format>
    <format dxfId="3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5">
      <pivotArea outline="0" collapsedLevelsAreSubtotals="1" fieldPosition="0"/>
    </format>
    <format dxfId="314">
      <pivotArea dataOnly="0" labelOnly="1" grandRow="1" outline="0" fieldPosition="0"/>
    </format>
    <format dxfId="313">
      <pivotArea field="-2" type="button" dataOnly="0" labelOnly="1" outline="0" axis="axisRow" fieldPosition="0"/>
    </format>
    <format dxfId="312">
      <pivotArea type="origin" dataOnly="0" labelOnly="1" outline="0" fieldPosition="0"/>
    </format>
    <format dxfId="311">
      <pivotArea type="origin" dataOnly="0" labelOnly="1" outline="0" fieldPosition="0"/>
    </format>
    <format dxfId="310">
      <pivotArea field="-2" type="button" dataOnly="0" labelOnly="1" outline="0" axis="axisRow" fieldPosition="0"/>
    </format>
    <format dxfId="309">
      <pivotArea field="-2" type="button" dataOnly="0" labelOnly="1" outline="0" axis="axisRow" fieldPosition="0"/>
    </format>
    <format dxfId="308">
      <pivotArea outline="0" fieldPosition="0">
        <references count="1">
          <reference field="4294967294" count="1">
            <x v="0"/>
          </reference>
        </references>
      </pivotArea>
    </format>
    <format dxfId="307">
      <pivotArea field="1" type="button" dataOnly="0" labelOnly="1" outline="0" axis="axisCol" fieldPosition="0"/>
    </format>
    <format dxfId="3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5">
      <pivotArea field="1" type="button" dataOnly="0" labelOnly="1" outline="0" axis="axisCol" fieldPosition="0"/>
    </format>
    <format dxfId="304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03">
      <pivotArea outline="0" collapsedLevelsAreSubtotals="1" fieldPosition="0">
        <references count="1">
          <reference field="1" count="0" selected="0"/>
        </references>
      </pivotArea>
    </format>
    <format dxfId="302">
      <pivotArea field="1" type="button" dataOnly="0" labelOnly="1" outline="0" axis="axisCol" fieldPosition="0"/>
    </format>
    <format dxfId="301">
      <pivotArea type="topRight" dataOnly="0" labelOnly="1" outline="0" fieldPosition="0"/>
    </format>
    <format dxfId="300">
      <pivotArea dataOnly="0" labelOnly="1" fieldPosition="0">
        <references count="1">
          <reference field="1" count="0"/>
        </references>
      </pivotArea>
    </format>
    <format dxfId="299">
      <pivotArea type="origin" dataOnly="0" labelOnly="1" outline="0" fieldPosition="0"/>
    </format>
    <format dxfId="298">
      <pivotArea field="-2" type="button" dataOnly="0" labelOnly="1" outline="0" axis="axisRow" fieldPosition="0"/>
    </format>
    <format dxfId="29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92">
      <pivotArea type="origin" dataOnly="0" labelOnly="1" outline="0" fieldPosition="0"/>
    </format>
    <format dxfId="291">
      <pivotArea field="1" type="button" dataOnly="0" labelOnly="1" outline="0" axis="axisCol" fieldPosition="0"/>
    </format>
    <format dxfId="290">
      <pivotArea type="topRight" dataOnly="0" labelOnly="1" outline="0" fieldPosition="0"/>
    </format>
    <format dxfId="289">
      <pivotArea field="-2" type="button" dataOnly="0" labelOnly="1" outline="0" axis="axisRow" fieldPosition="0"/>
    </format>
    <format dxfId="288">
      <pivotArea dataOnly="0" labelOnly="1" fieldPosition="0">
        <references count="1">
          <reference field="1" count="0"/>
        </references>
      </pivotArea>
    </format>
    <format dxfId="287">
      <pivotArea dataOnly="0" labelOnly="1" grandCol="1" outline="0" fieldPosition="0"/>
    </format>
    <format dxfId="286">
      <pivotArea type="origin" dataOnly="0" labelOnly="1" outline="0" fieldPosition="0"/>
    </format>
    <format dxfId="285">
      <pivotArea field="1" type="button" dataOnly="0" labelOnly="1" outline="0" axis="axisCol" fieldPosition="0"/>
    </format>
    <format dxfId="284">
      <pivotArea type="topRight" dataOnly="0" labelOnly="1" outline="0" fieldPosition="0"/>
    </format>
    <format dxfId="283">
      <pivotArea field="-2" type="button" dataOnly="0" labelOnly="1" outline="0" axis="axisRow" fieldPosition="0"/>
    </format>
    <format dxfId="282">
      <pivotArea dataOnly="0" labelOnly="1" fieldPosition="0">
        <references count="1">
          <reference field="1" count="0"/>
        </references>
      </pivotArea>
    </format>
    <format dxfId="281">
      <pivotArea dataOnly="0" labelOnly="1" grandCol="1" outline="0" fieldPosition="0"/>
    </format>
    <format dxfId="280">
      <pivotArea dataOnly="0" labelOnly="1" fieldPosition="0">
        <references count="1">
          <reference field="1" count="0"/>
        </references>
      </pivotArea>
    </format>
    <format dxfId="279">
      <pivotArea dataOnly="0" labelOnly="1" grandCol="1" outline="0" fieldPosition="0"/>
    </format>
    <format dxfId="278">
      <pivotArea field="1" type="button" dataOnly="0" labelOnly="1" outline="0" axis="axisCol" fieldPosition="0"/>
    </format>
    <format dxfId="277">
      <pivotArea type="topRight" dataOnly="0" labelOnly="1" outline="0" fieldPosition="0"/>
    </format>
    <format dxfId="276">
      <pivotArea dataOnly="0" labelOnly="1" fieldPosition="0">
        <references count="1">
          <reference field="1" count="0"/>
        </references>
      </pivotArea>
    </format>
    <format dxfId="275">
      <pivotArea dataOnly="0" labelOnly="1" grandCol="1" outline="0" fieldPosition="0"/>
    </format>
    <format dxfId="274">
      <pivotArea outline="0" collapsedLevelsAreSubtotals="1" fieldPosition="0"/>
    </format>
    <format dxfId="273">
      <pivotArea type="origin" dataOnly="0" labelOnly="1" outline="0" fieldPosition="0"/>
    </format>
    <format dxfId="272">
      <pivotArea field="-2" type="button" dataOnly="0" labelOnly="1" outline="0" axis="axisRow" fieldPosition="0"/>
    </format>
    <format dxfId="271">
      <pivotArea collapsedLevelsAreSubtotals="1" fieldPosition="0">
        <references count="1">
          <reference field="4294967294" count="1">
            <x v="6"/>
          </reference>
        </references>
      </pivotArea>
    </format>
    <format dxfId="27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69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24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5:AE33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1"/>
  </colFields>
  <colItems count="3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colItems>
  <dataFields count="7">
    <dataField name="COF 280 - PPM ACIDO  " fld="49" baseField="0" baseItem="0" numFmtId="3"/>
    <dataField name="COF 235 - PPM COAGULANTE  " fld="50" baseField="0" baseItem="0" numFmtId="3"/>
    <dataField name="COF 255 - PPM DECOLORANTE  " fld="51" baseField="0" baseItem="0" numFmtId="3"/>
    <dataField name="COF 440 - PPM POL ANIONICO  " fld="52" baseField="1" baseItem="0"/>
    <dataField name="COF 494 - PPM POL CATIONICO " fld="53" baseField="0" baseItem="0"/>
    <dataField name="CAUDAL TOTAL TRATADO GEM  " fld="11" baseField="0" baseItem="0"/>
    <dataField name="INDICADOR $m3 " fld="48" baseField="0" baseItem="0"/>
  </dataFields>
  <formats count="53">
    <format dxfId="385">
      <pivotArea field="0" type="button" dataOnly="0" labelOnly="1" outline="0"/>
    </format>
    <format dxfId="384">
      <pivotArea field="0" type="button" dataOnly="0" labelOnly="1" outline="0"/>
    </format>
    <format dxfId="383">
      <pivotArea field="0" type="button" dataOnly="0" labelOnly="1" outline="0"/>
    </format>
    <format dxfId="382">
      <pivotArea field="0" type="button" dataOnly="0" labelOnly="1" outline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0" type="button" dataOnly="0" labelOnly="1" outline="0"/>
    </format>
    <format dxfId="378">
      <pivotArea dataOnly="0" labelOnly="1" grandRow="1" outline="0" fieldPosition="0"/>
    </format>
    <format dxfId="377">
      <pivotArea field="0" type="button" dataOnly="0" labelOnly="1" outline="0"/>
    </format>
    <format dxfId="376">
      <pivotArea field="0" type="button" dataOnly="0" labelOnly="1" outline="0"/>
    </format>
    <format dxfId="375">
      <pivotArea field="0" type="button" dataOnly="0" labelOnly="1" outline="0"/>
    </format>
    <format dxfId="374">
      <pivotArea field="0" type="button" dataOnly="0" labelOnly="1" outline="0"/>
    </format>
    <format dxfId="373">
      <pivotArea outline="0" collapsedLevelsAreSubtotals="1" fieldPosition="0"/>
    </format>
    <format dxfId="372">
      <pivotArea field="0" type="button" dataOnly="0" labelOnly="1" outline="0"/>
    </format>
    <format dxfId="371">
      <pivotArea type="all" dataOnly="0" outline="0" fieldPosition="0"/>
    </format>
    <format dxfId="370">
      <pivotArea field="0" type="button" dataOnly="0" labelOnly="1" outline="0"/>
    </format>
    <format dxfId="369">
      <pivotArea dataOnly="0" labelOnly="1" grandRow="1" outline="0" fieldPosition="0"/>
    </format>
    <format dxfId="368">
      <pivotArea type="origin" dataOnly="0" labelOnly="1" outline="0" fieldPosition="0"/>
    </format>
    <format dxfId="367">
      <pivotArea type="origin" dataOnly="0" labelOnly="1" outline="0" fieldPosition="0"/>
    </format>
    <format dxfId="366">
      <pivotArea field="1" type="button" dataOnly="0" labelOnly="1" outline="0" axis="axisCol" fieldPosition="0"/>
    </format>
    <format dxfId="3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4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63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62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61">
      <pivotArea outline="0" collapsedLevelsAreSubtotals="1" fieldPosition="0">
        <references count="1">
          <reference field="1" count="0" selected="0"/>
        </references>
      </pivotArea>
    </format>
    <format dxfId="360">
      <pivotArea field="1" type="button" dataOnly="0" labelOnly="1" outline="0" axis="axisCol" fieldPosition="0"/>
    </format>
    <format dxfId="359">
      <pivotArea type="topRight" dataOnly="0" labelOnly="1" outline="0" fieldPosition="0"/>
    </format>
    <format dxfId="358">
      <pivotArea dataOnly="0" labelOnly="1" fieldPosition="0">
        <references count="1">
          <reference field="1" count="0"/>
        </references>
      </pivotArea>
    </format>
    <format dxfId="3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">
      <pivotArea type="all" dataOnly="0" outline="0" fieldPosition="0"/>
    </format>
    <format dxfId="353">
      <pivotArea type="origin" dataOnly="0" labelOnly="1" outline="0" fieldPosition="0"/>
    </format>
    <format dxfId="352">
      <pivotArea field="-2" type="button" dataOnly="0" labelOnly="1" outline="0" axis="axisRow" fieldPosition="0"/>
    </format>
    <format dxfId="351">
      <pivotArea dataOnly="0" labelOnly="1" fieldPosition="0">
        <references count="1">
          <reference field="1" count="0"/>
        </references>
      </pivotArea>
    </format>
    <format dxfId="350">
      <pivotArea dataOnly="0" labelOnly="1" grandCol="1" outline="0" fieldPosition="0"/>
    </format>
    <format dxfId="349">
      <pivotArea outline="0" collapsedLevelsAreSubtotals="1" fieldPosition="0"/>
    </format>
    <format dxfId="3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47">
      <pivotArea type="origin" dataOnly="0" labelOnly="1" outline="0" fieldPosition="0"/>
    </format>
    <format dxfId="346">
      <pivotArea field="-2" type="button" dataOnly="0" labelOnly="1" outline="0" axis="axisRow" fieldPosition="0"/>
    </format>
    <format dxfId="345">
      <pivotArea field="1" type="button" dataOnly="0" labelOnly="1" outline="0" axis="axisCol" fieldPosition="0"/>
    </format>
    <format dxfId="344">
      <pivotArea type="topRight" dataOnly="0" labelOnly="1" outline="0" fieldPosition="0"/>
    </format>
    <format dxfId="343">
      <pivotArea field="1" type="button" dataOnly="0" labelOnly="1" outline="0" axis="axisCol" fieldPosition="0"/>
    </format>
    <format dxfId="342">
      <pivotArea type="topRight" dataOnly="0" labelOnly="1" outline="0" fieldPosition="0"/>
    </format>
    <format dxfId="341">
      <pivotArea dataOnly="0" labelOnly="1" fieldPosition="0">
        <references count="1">
          <reference field="1" count="0"/>
        </references>
      </pivotArea>
    </format>
    <format dxfId="340">
      <pivotArea dataOnly="0" labelOnly="1" grandCol="1" outline="0" fieldPosition="0"/>
    </format>
    <format dxfId="339">
      <pivotArea field="1" type="button" dataOnly="0" labelOnly="1" outline="0" axis="axisCol" fieldPosition="0"/>
    </format>
    <format dxfId="338">
      <pivotArea type="topRight" dataOnly="0" labelOnly="1" outline="0" fieldPosition="0"/>
    </format>
    <format dxfId="337">
      <pivotArea dataOnly="0" labelOnly="1" fieldPosition="0">
        <references count="1">
          <reference field="1" count="0"/>
        </references>
      </pivotArea>
    </format>
    <format dxfId="336">
      <pivotArea dataOnly="0" labelOnly="1" grandCol="1" outline="0" fieldPosition="0"/>
    </format>
    <format dxfId="335">
      <pivotArea type="origin" dataOnly="0" labelOnly="1" outline="0" fieldPosition="0"/>
    </format>
    <format dxfId="334">
      <pivotArea field="-2" type="button" dataOnly="0" labelOnly="1" outline="0" axis="axisRow" fieldPosition="0"/>
    </format>
    <format dxfId="333">
      <pivotArea collapsedLevelsAreSubtotals="1" fieldPosition="0">
        <references count="1">
          <reference field="4294967294" count="1">
            <x v="6"/>
          </reference>
        </references>
      </pivotArea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24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35:AF37" firstHeaderRow="1" firstDataRow="2" firstDataCol="1"/>
  <pivotFields count="60">
    <pivotField showAll="0">
      <items count="549"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547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6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4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x="31"/>
        <item t="default"/>
      </items>
    </pivotField>
    <pivotField axis="axisCol" numFmtId="1" showAll="0">
      <items count="34">
        <item x="0"/>
        <item x="1"/>
        <item x="2"/>
        <item h="1"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 CAUDAL TOTAL TRATADO GEM " fld="11" baseField="0" baseItem="0"/>
  </dataFields>
  <formats count="37">
    <format dxfId="422">
      <pivotArea field="0" type="button" dataOnly="0" labelOnly="1" outline="0"/>
    </format>
    <format dxfId="421">
      <pivotArea field="0" type="button" dataOnly="0" labelOnly="1" outline="0"/>
    </format>
    <format dxfId="420">
      <pivotArea outline="0" collapsedLevelsAreSubtotals="1" fieldPosition="0"/>
    </format>
    <format dxfId="419">
      <pivotArea field="1" type="button" dataOnly="0" labelOnly="1" outline="0" axis="axisCol" fieldPosition="0"/>
    </format>
    <format dxfId="418">
      <pivotArea type="origin" dataOnly="0" labelOnly="1" outline="0" fieldPosition="0"/>
    </format>
    <format dxfId="417">
      <pivotArea outline="0" collapsedLevelsAreSubtotals="1" fieldPosition="0"/>
    </format>
    <format dxfId="416">
      <pivotArea outline="0" collapsedLevelsAreSubtotals="1" fieldPosition="0"/>
    </format>
    <format dxfId="415">
      <pivotArea type="origin" dataOnly="0" labelOnly="1" outline="0" fieldPosition="0"/>
    </format>
    <format dxfId="414">
      <pivotArea field="-2" type="button" dataOnly="0" labelOnly="1" outline="0" axis="axisValues" fieldPosition="0"/>
    </format>
    <format dxfId="413">
      <pivotArea type="origin" dataOnly="0" labelOnly="1" outline="0" fieldPosition="0"/>
    </format>
    <format dxfId="412">
      <pivotArea field="-2" type="button" dataOnly="0" labelOnly="1" outline="0" axis="axisValues" fieldPosition="0"/>
    </format>
    <format dxfId="411">
      <pivotArea outline="0" collapsedLevelsAreSubtotals="1" fieldPosition="0">
        <references count="1">
          <reference field="1" count="0" selected="0"/>
        </references>
      </pivotArea>
    </format>
    <format dxfId="410">
      <pivotArea field="1" type="button" dataOnly="0" labelOnly="1" outline="0" axis="axisCol" fieldPosition="0"/>
    </format>
    <format dxfId="409">
      <pivotArea type="topRight" dataOnly="0" labelOnly="1" outline="0" fieldPosition="0"/>
    </format>
    <format dxfId="408">
      <pivotArea dataOnly="0" labelOnly="1" fieldPosition="0">
        <references count="1">
          <reference field="1" count="0"/>
        </references>
      </pivotArea>
    </format>
    <format dxfId="407">
      <pivotArea outline="0" collapsedLevelsAreSubtotals="1" fieldPosition="0"/>
    </format>
    <format dxfId="406">
      <pivotArea dataOnly="0" labelOnly="1" fieldPosition="0">
        <references count="1">
          <reference field="1" count="0"/>
        </references>
      </pivotArea>
    </format>
    <format dxfId="405">
      <pivotArea dataOnly="0" labelOnly="1" grandCol="1" outline="0" fieldPosition="0"/>
    </format>
    <format dxfId="404">
      <pivotArea outline="0" collapsedLevelsAreSubtotals="1" fieldPosition="0"/>
    </format>
    <format dxfId="403">
      <pivotArea dataOnly="0" labelOnly="1" fieldPosition="0">
        <references count="1">
          <reference field="1" count="0"/>
        </references>
      </pivotArea>
    </format>
    <format dxfId="402">
      <pivotArea dataOnly="0" labelOnly="1" grandCol="1" outline="0" fieldPosition="0"/>
    </format>
    <format dxfId="401">
      <pivotArea outline="0" collapsedLevelsAreSubtotals="1" fieldPosition="0"/>
    </format>
    <format dxfId="4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9">
      <pivotArea field="1" type="button" dataOnly="0" labelOnly="1" outline="0" axis="axisCol" fieldPosition="0"/>
    </format>
    <format dxfId="398">
      <pivotArea type="topRight" dataOnly="0" labelOnly="1" outline="0" fieldPosition="0"/>
    </format>
    <format dxfId="397">
      <pivotArea dataOnly="0" labelOnly="1" fieldPosition="0">
        <references count="1">
          <reference field="1" count="0"/>
        </references>
      </pivotArea>
    </format>
    <format dxfId="396">
      <pivotArea dataOnly="0" labelOnly="1" grandCol="1" outline="0" fieldPosition="0"/>
    </format>
    <format dxfId="3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3">
      <pivotArea outline="0" collapsedLevelsAreSubtotals="1" fieldPosition="0"/>
    </format>
    <format dxfId="3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1">
      <pivotArea type="origin" dataOnly="0" labelOnly="1" outline="0" fieldPosition="0"/>
    </format>
    <format dxfId="390">
      <pivotArea field="-2" type="button" dataOnly="0" labelOnly="1" outline="0" axis="axisValues" fieldPosition="0"/>
    </format>
    <format dxfId="389">
      <pivotArea field="1" type="button" dataOnly="0" labelOnly="1" outline="0" axis="axisCol" fieldPosition="0"/>
    </format>
    <format dxfId="388">
      <pivotArea type="topRight" dataOnly="0" labelOnly="1" outline="0" fieldPosition="0"/>
    </format>
    <format dxfId="387">
      <pivotArea dataOnly="0" labelOnly="1" fieldPosition="0">
        <references count="1">
          <reference field="1" count="0"/>
        </references>
      </pivotArea>
    </format>
    <format dxfId="386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23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G18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 CONSUMO (Kg) HCL (10%)22" fld="31" baseField="0" baseItem="0"/>
    <dataField name=" CONSUMO (Kg) KURIVERTER IK-220 (Biocida)" fld="32" baseField="0" baseItem="0"/>
    <dataField name=" CONSUMO (Kg) VITEC 7000 (Antiincrustante)" fld="33" baseField="0" baseItem="0"/>
    <dataField name=" CONSUMO (Kg) Hidróxido de Sodio (NaOH)" fld="34" baseField="0" baseItem="0"/>
    <dataField name=" CONSUMO (Kg) Bisulfito de sodio6" fld="35" baseField="0" baseItem="0"/>
  </dataFields>
  <formats count="25">
    <format dxfId="44">
      <pivotArea outline="0" collapsedLevelsAreSubtotals="1" fieldPosition="0"/>
    </format>
    <format dxfId="43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42">
      <pivotArea grandCol="1" outline="0" collapsedLevelsAreSubtotals="1" fieldPosition="0"/>
    </format>
    <format dxfId="41">
      <pivotArea type="topRight" dataOnly="0" labelOnly="1" outline="0" offset="B1:AD1" fieldPosition="0"/>
    </format>
    <format dxfId="40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-2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Col="1" outline="0" fieldPosition="0"/>
    </format>
    <format dxfId="32">
      <pivotArea type="origin" dataOnly="0" labelOnly="1" outline="0" fieldPosition="0"/>
    </format>
    <format dxfId="31">
      <pivotArea field="1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-2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Col="1" outline="0" fieldPosition="0"/>
    </format>
    <format dxfId="26">
      <pivotArea type="origin" dataOnly="0" labelOnly="1" outline="0" fieldPosition="0"/>
    </format>
    <format dxfId="25">
      <pivotArea field="-2" type="button" dataOnly="0" labelOnly="1" outline="0" axis="axisRow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23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G9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 CONSUMO (L) HCL (10%)" fld="21" baseField="0" baseItem="0"/>
    <dataField name=" CONSUMO (L) KURIVERTER IK-220 (Biocida)" fld="22" baseField="0" baseItem="0"/>
    <dataField name="CONSUMO (L) VITEC 7000 (Antiincrustante) " fld="23" baseField="0" baseItem="0"/>
    <dataField name="CONSUMO (L) Hidróxido de Sodio (NaOH) " fld="24" baseField="0" baseItem="0"/>
    <dataField name="CONSUMO (L) Bisulfito de sodio " fld="25" baseField="0" baseItem="0"/>
  </dataFields>
  <formats count="35">
    <format dxfId="79">
      <pivotArea outline="0" collapsedLevelsAreSubtotals="1" fieldPosition="0"/>
    </format>
    <format dxfId="78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7">
      <pivotArea grandCol="1" outline="0" collapsedLevelsAreSubtotals="1" fieldPosition="0"/>
    </format>
    <format dxfId="76">
      <pivotArea type="topRight" dataOnly="0" labelOnly="1" outline="0" offset="B1:AD1" fieldPosition="0"/>
    </format>
    <format dxfId="75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74">
      <pivotArea dataOnly="0" labelOnly="1" grandCol="1" outline="0" fieldPosition="0"/>
    </format>
    <format dxfId="73">
      <pivotArea type="all" dataOnly="0" outline="0" fieldPosition="0"/>
    </format>
    <format dxfId="72">
      <pivotArea field="1" type="button" dataOnly="0" labelOnly="1" outline="0" axis="axisCol" fieldPosition="0"/>
    </format>
    <format dxfId="71">
      <pivotArea type="topRight" dataOnly="0" labelOnly="1" outline="0" fieldPosition="0"/>
    </format>
    <format dxfId="70">
      <pivotArea dataOnly="0" labelOnly="1" fieldPosition="0">
        <references count="1">
          <reference field="1" count="0"/>
        </references>
      </pivotArea>
    </format>
    <format dxfId="69">
      <pivotArea dataOnly="0" labelOnly="1" grandCol="1" outline="0" fieldPosition="0"/>
    </format>
    <format dxfId="68">
      <pivotArea type="origin" dataOnly="0" labelOnly="1" outline="0" fieldPosition="0"/>
    </format>
    <format dxfId="67">
      <pivotArea field="-2" type="button" dataOnly="0" labelOnly="1" outline="0" axis="axisRow" fieldPosition="0"/>
    </format>
    <format dxfId="66">
      <pivotArea field="1" type="button" dataOnly="0" labelOnly="1" outline="0" axis="axisCol" fieldPosition="0"/>
    </format>
    <format dxfId="65">
      <pivotArea type="topRight" dataOnly="0" labelOnly="1" outline="0" fieldPosition="0"/>
    </format>
    <format dxfId="64">
      <pivotArea outline="0" collapsedLevelsAreSubtotals="1" fieldPosition="0"/>
    </format>
    <format dxfId="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2">
      <pivotArea type="origin" dataOnly="0" labelOnly="1" outline="0" fieldPosition="0"/>
    </format>
    <format dxfId="61">
      <pivotArea field="1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-2" type="button" dataOnly="0" labelOnly="1" outline="0" axis="axisRow" fieldPosition="0"/>
    </format>
    <format dxfId="58">
      <pivotArea dataOnly="0" labelOnly="1" fieldPosition="0">
        <references count="1">
          <reference field="1" count="0"/>
        </references>
      </pivotArea>
    </format>
    <format dxfId="57">
      <pivotArea dataOnly="0" labelOnly="1" grandCol="1" outline="0" fieldPosition="0"/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-2" type="button" dataOnly="0" labelOnly="1" outline="0" axis="axisRow" fieldPosition="0"/>
    </format>
    <format dxfId="52">
      <pivotArea dataOnly="0" labelOnly="1" fieldPosition="0">
        <references count="1">
          <reference field="1" count="0"/>
        </references>
      </pivotArea>
    </format>
    <format dxfId="51">
      <pivotArea dataOnly="0" labelOnly="1" grandCol="1" outline="0" fieldPosition="0"/>
    </format>
    <format dxfId="50">
      <pivotArea outline="0" collapsedLevelsAreSubtotals="1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Col="1" outline="0" fieldPosition="0"/>
    </format>
    <format dxfId="47">
      <pivotArea type="origin" dataOnly="0" labelOnly="1" outline="0" fieldPosition="0"/>
    </format>
    <format dxfId="46">
      <pivotArea field="-2" type="button" dataOnly="0" labelOnly="1" outline="0" axis="axisRow" fieldPosition="0"/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2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G34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1">
    <dataField name=" TIEMPO DE OPERACIÓN (minutos)" fld="8" baseField="0" baseItem="0"/>
  </dataFields>
  <formats count="23"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field="1" type="button" dataOnly="0" labelOnly="1" outline="0" axis="axisCol" fieldPosition="0"/>
    </format>
    <format dxfId="99">
      <pivotArea type="topRight" dataOnly="0" labelOnly="1" outline="0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Col="1" outline="0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offset="A1" fieldPosition="0"/>
    </format>
    <format dxfId="93">
      <pivotArea dataOnly="0" labelOnly="1" outline="0" axis="axisValues" fieldPosition="0"/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type="origin" dataOnly="0" labelOnly="1" outline="0" offset="A2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Col="1" outline="0" fieldPosition="0"/>
    </format>
    <format dxfId="87">
      <pivotArea type="origin" dataOnly="0" labelOnly="1" outline="0" offset="A1" fieldPosition="0"/>
    </format>
    <format dxfId="86">
      <pivotArea type="origin" dataOnly="0" labelOnly="1" outline="0" offset="A2" fieldPosition="0"/>
    </format>
    <format dxfId="85">
      <pivotArea outline="0" collapsedLevelsAreSubtotals="1" fieldPosition="0">
        <references count="1">
          <reference field="1" count="0" selected="0"/>
        </references>
      </pivotArea>
    </format>
    <format dxfId="84">
      <pivotArea dataOnly="0" labelOnly="1" fieldPosition="0">
        <references count="1">
          <reference field="1" count="0"/>
        </references>
      </pivotArea>
    </format>
    <format dxfId="83">
      <pivotArea outline="0" collapsedLevelsAreSubtotals="1" fieldPosition="0"/>
    </format>
    <format dxfId="82">
      <pivotArea dataOnly="0" labelOnly="1" outline="0" axis="axisValues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23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G28" firstHeaderRow="1" firstDataRow="2" firstDataCol="1"/>
  <pivotFields count="63">
    <pivotField numFmtId="14" showAll="0">
      <items count="401"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x="31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1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 t="grand">
      <x/>
    </i>
  </colItems>
  <dataFields count="5">
    <dataField name="Suma de PPM HCL" fld="55" baseField="0" baseItem="0" numFmtId="1"/>
    <dataField name="Suma de PPM KURIVERTER" fld="56" baseField="0" baseItem="0" numFmtId="1"/>
    <dataField name="Suma de PPM VITEC" fld="57" baseField="0" baseItem="0" numFmtId="1"/>
    <dataField name="Suma de PPM NaOH" fld="58" baseField="0" baseItem="0" numFmtId="1"/>
    <dataField name="Suma de PPM BISULFITO" fld="59" baseField="0" baseItem="0" numFmtId="1"/>
  </dataFields>
  <formats count="31">
    <format dxfId="133">
      <pivotArea outline="0" collapsedLevelsAreSubtotals="1" fieldPosition="0"/>
    </format>
    <format dxfId="132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1">
      <pivotArea grandCol="1" outline="0" collapsedLevelsAreSubtotals="1" fieldPosition="0"/>
    </format>
    <format dxfId="130">
      <pivotArea type="topRight" dataOnly="0" labelOnly="1" outline="0" offset="B1:AD1" fieldPosition="0"/>
    </format>
    <format dxfId="129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28">
      <pivotArea dataOnly="0" labelOnly="1" grandCol="1" outline="0" fieldPosition="0"/>
    </format>
    <format dxfId="127">
      <pivotArea type="origin" dataOnly="0" labelOnly="1" outline="0" fieldPosition="0"/>
    </format>
    <format dxfId="126">
      <pivotArea field="1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-2" type="button" dataOnly="0" labelOnly="1" outline="0" axis="axisRow" fieldPosition="0"/>
    </format>
    <format dxfId="123">
      <pivotArea dataOnly="0" labelOnly="1" fieldPosition="0">
        <references count="1">
          <reference field="1" count="0"/>
        </references>
      </pivotArea>
    </format>
    <format dxfId="122">
      <pivotArea dataOnly="0" labelOnly="1" grandCol="1" outline="0" fieldPosition="0"/>
    </format>
    <format dxfId="121">
      <pivotArea type="origin" dataOnly="0" labelOnly="1" outline="0" fieldPosition="0"/>
    </format>
    <format dxfId="120">
      <pivotArea field="1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-2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Col="1" outline="0" fieldPosition="0"/>
    </format>
    <format dxfId="115">
      <pivotArea type="origin" dataOnly="0" labelOnly="1" outline="0" fieldPosition="0"/>
    </format>
    <format dxfId="114">
      <pivotArea field="-2" type="button" dataOnly="0" labelOnly="1" outline="0" axis="axisRow" fieldPosition="0"/>
    </format>
    <format dxfId="113">
      <pivotArea outline="0" collapsedLevelsAreSubtotals="1" fieldPosition="0"/>
    </format>
    <format dxfId="112">
      <pivotArea outline="0" collapsedLevelsAreSubtotals="1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Col="1" outline="0" fieldPosition="0"/>
    </format>
    <format dxfId="10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08">
      <pivotArea type="origin" dataOnly="0" labelOnly="1" outline="0" fieldPosition="0"/>
    </format>
    <format dxfId="107">
      <pivotArea field="1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-2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  <format dxfId="1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  <pivotTable tabId="14" name="TablaDinámica9"/>
    <pivotTable tabId="16" name="TablaDinámica1"/>
    <pivotTable tabId="16" name="TablaDinámica2"/>
    <pivotTable tabId="16" name="TablaDinámica3"/>
    <pivotTable tabId="16" name="TablaDinámica4"/>
    <pivotTable tabId="27" name="TablaDinámica5"/>
    <pivotTable tabId="27" name="TablaDinámica6"/>
    <pivotTable tabId="27" name="TablaDinámica7"/>
    <pivotTable tabId="14" name="TablaDinámica5"/>
    <pivotTable tabId="27" name="TablaDinámica10"/>
  </pivotTables>
  <data>
    <tabular pivotCacheId="1515291395">
      <items count="54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547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517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456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4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  <i x="3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60F968E0-6B0D-4F1A-B862-937963606172}" sourceName="DIA">
  <pivotTables>
    <pivotTable tabId="27" name="TablaDinámica5"/>
    <pivotTable tabId="16" name="TablaDinámica1"/>
    <pivotTable tabId="16" name="TablaDinámica2"/>
    <pivotTable tabId="16" name="TablaDinámica3"/>
    <pivotTable tabId="16" name="TablaDinámica4"/>
    <pivotTable tabId="14" name="TablaDinámica1"/>
    <pivotTable tabId="27" name="TablaDinámica6"/>
    <pivotTable tabId="27" name="TablaDinámica7"/>
    <pivotTable tabId="14" name="TablaDinámica9"/>
    <pivotTable tabId="14" name="TablaDinámica5"/>
    <pivotTable tabId="27" name="TablaDinámica10"/>
  </pivotTables>
  <data>
    <tabular pivotCacheId="1515291395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1"/>
        <i x="32" nd="1"/>
        <i x="3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2"/>
    <pivotTable tabId="14" name="TablaDinámica4"/>
  </pivotTables>
  <data>
    <tabular pivotCacheId="140647070">
      <items count="40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/>
        <i x="3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95" nd="1"/>
        <i x="396" nd="1"/>
        <i x="397" nd="1"/>
        <i x="398" nd="1"/>
        <i x="399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66" nd="1"/>
        <i x="367" nd="1"/>
        <i x="368" nd="1"/>
        <i x="369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336" nd="1"/>
        <i x="337" nd="1"/>
        <i x="338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305" nd="1"/>
        <i x="306" nd="1"/>
        <i x="307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75" nd="1"/>
        <i x="276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44" nd="1"/>
        <i x="245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212" nd="1"/>
        <i x="213" nd="1"/>
        <i x="214" nd="1"/>
        <i x="215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83" nd="1"/>
        <i x="184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152" nd="1"/>
        <i x="153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122" nd="1"/>
        <i x="123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91" nd="1"/>
        <i x="92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  <i x="60" nd="1"/>
        <i x="61" nd="1"/>
        <i x="6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C0CF515C-C34C-4638-A3ED-0E3BB739B0C2}" cache="SegmentaciónDeDatos_FECHA1" caption="FECHA" startItem="24" rowHeight="241300"/>
  <slicer name="DIA 1" xr10:uid="{DFAAB8DA-9D58-4623-BEA0-623A2358A5F3}" cache="SegmentaciónDeDatos_DIA" caption="DIA" startItem="9" rowHeight="234950"/>
  <slicer name="FECHA 2" xr10:uid="{7CEFE6A9-8DD9-441D-9BF7-6AF4C8AF5212}" cache="SegmentaciónDeDatos_FECHA2" caption="FECHA" startItem="27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9B5769E2-C70B-43B3-8FD1-F18507C6336A}" cache="SegmentaciónDeDatos_DIA" caption="DIA" startItem="2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U97" totalsRowCount="1" headerRowDxfId="558" dataDxfId="557">
  <autoFilter ref="A1:AU96" xr:uid="{106ED39B-8120-48D1-B96B-A8FB2CC5DC7B}"/>
  <tableColumns count="47">
    <tableColumn id="1" xr3:uid="{797BBFE9-7BD9-4895-8C65-B12AC56DBD23}" name="FECHA" dataDxfId="556" totalsRowDxfId="555"/>
    <tableColumn id="47" xr3:uid="{976FC6AF-EAA8-436A-9BA8-AC53AED0CB5E}" name="DIA" dataDxfId="554" totalsRowDxfId="553"/>
    <tableColumn id="2" xr3:uid="{ED62E89D-C3D6-46F0-9E1B-185F3DF1296E}" name="ANALISIS TURNO" dataDxfId="552" totalsRowDxfId="551"/>
    <tableColumn id="3" xr3:uid="{BBA60A93-0254-41C3-A7CA-2EDB720B1050}" name="# TURNO" dataDxfId="550" totalsRowDxfId="549"/>
    <tableColumn id="46" xr3:uid="{4F31C636-F8EB-4A95-8AED-141DEE9C8A6A}" name="DILIGENCIAR BITACORA" dataDxfId="548" totalsRowDxfId="547"/>
    <tableColumn id="4" xr3:uid="{B73C29EE-3B1E-409E-B889-754B9082C27C}" name="FINAL ACIDO (L)" totalsRowLabel="2.160" dataDxfId="546" totalsRowDxfId="545"/>
    <tableColumn id="5" xr3:uid="{85CF7F79-52E3-4C53-9B93-560644AE36E3}" name="FINAL COAGULANTE (L)" totalsRowLabel="2.100" dataDxfId="544" totalsRowDxfId="543"/>
    <tableColumn id="6" xr3:uid="{E77621B2-41A1-4E5F-BE6F-18DDA2810184}" name="FINAL DECOLORANTE (L)" totalsRowLabel="1.670" dataDxfId="542" totalsRowDxfId="541"/>
    <tableColumn id="7" xr3:uid="{01D1223B-AFC9-473C-B53A-772ED6688370}" name="FINAL POL ANIONICO (KG)" totalsRowLabel="205" dataDxfId="540" totalsRowDxfId="539"/>
    <tableColumn id="8" xr3:uid="{F3F3A222-444F-40CA-A3E4-91ADFB7EE17C}" name="FINAL POL CATIONICO (KG)" totalsRowLabel="105" dataDxfId="538" totalsRowDxfId="537"/>
    <tableColumn id="11" xr3:uid="{6CA64394-760F-47F1-A458-077D466340EA}" name="Lectura Horometro INICIAL (06:00)" dataDxfId="536" totalsRowDxfId="535"/>
    <tableColumn id="12" xr3:uid="{F9E9DE99-0964-4A63-8AB7-0B4C558EB128}" name="CAUDAL TOTAL TRATADO GEM " dataDxfId="534" totalsRowDxfId="533">
      <calculatedColumnFormula>(K3-K2)*M2</calculatedColumnFormula>
    </tableColumn>
    <tableColumn id="50" xr3:uid="{836AB61D-51F9-4D81-8D56-EA763E8959D1}" name="CAUDAL DE TRATAMIENTO" totalsRowLabel="80" dataDxfId="532" totalsRowDxfId="531"/>
    <tableColumn id="13" xr3:uid="{DC31669B-5880-4278-AAEF-DEE832958168}" name="CONSUMO LITROS ACIDO (L)" dataDxfId="530" totalsRowDxfId="529">
      <calculatedColumnFormula>F2-F3</calculatedColumnFormula>
    </tableColumn>
    <tableColumn id="14" xr3:uid="{3F519DC6-C28D-400E-9BAE-FB58AEEC8615}" name="CONSUMO LITROS COAGULANTE (L)" dataDxfId="528" totalsRowDxfId="527"/>
    <tableColumn id="15" xr3:uid="{0C5F056C-2132-4DCC-8DE0-5EAB91723784}" name="CONSUMO LITROS DECOLORANTE (L)" dataDxfId="526" totalsRowDxfId="525"/>
    <tableColumn id="16" xr3:uid="{C474DBB7-9EDF-4C8A-8999-41B9946BC586}" name="CONSUMO POL ANIONICO (KG)" dataDxfId="524" totalsRowDxfId="523">
      <calculatedColumnFormula>I2-I3</calculatedColumnFormula>
    </tableColumn>
    <tableColumn id="17" xr3:uid="{1537DA41-65B8-4D8C-9F11-D2F984E6D1B1}" name="CONSUMO POL CATIONICO (KG)" dataDxfId="522" totalsRowDxfId="521"/>
    <tableColumn id="18" xr3:uid="{2A63BD78-FAED-4C1C-8047-CB39F8AFDCAC}" name="KG ACIDO" dataDxfId="520" totalsRowDxfId="519">
      <calculatedColumnFormula>(N2*$AC$2)</calculatedColumnFormula>
    </tableColumn>
    <tableColumn id="19" xr3:uid="{3C33C774-6CF3-4B73-BF30-DBB9172996A9}" name="KG COAGULANTE" dataDxfId="518" totalsRowDxfId="517">
      <calculatedColumnFormula>(O2*$AD$2)</calculatedColumnFormula>
    </tableColumn>
    <tableColumn id="20" xr3:uid="{CAFA74FF-0418-441A-9326-66074AEC1610}" name="KG DECOLORANTE " dataDxfId="516" totalsRowDxfId="515">
      <calculatedColumnFormula>(P2*$AE$2)</calculatedColumnFormula>
    </tableColumn>
    <tableColumn id="21" xr3:uid="{1458EF37-76ED-43B9-8AA8-9F80763A7696}" name="KG POL ANIONICO " dataDxfId="514" totalsRowDxfId="513">
      <calculatedColumnFormula>Tabla1[[#This Row],[CONSUMO POL ANIONICO (KG)]]</calculatedColumnFormula>
    </tableColumn>
    <tableColumn id="22" xr3:uid="{300A389A-14FF-4FB7-87C0-417DAACBFC6E}" name="KG POL CATIONICO " dataDxfId="512" totalsRowDxfId="511">
      <calculatedColumnFormula>Tabla1[[#This Row],[CONSUMO POL CATIONICO (KG)]]</calculatedColumnFormula>
    </tableColumn>
    <tableColumn id="23" xr3:uid="{0E4FFC5C-D7F2-468F-A1A3-EBC3233EC511}" name="PPM ACIDO " dataDxfId="510" totalsRowDxfId="509">
      <calculatedColumnFormula>(S2*1000)/L2</calculatedColumnFormula>
    </tableColumn>
    <tableColumn id="24" xr3:uid="{3F435E9F-2B10-453D-AA8A-0FC6772EB018}" name="PPM COAGULANTE " dataDxfId="508" totalsRowDxfId="507">
      <calculatedColumnFormula>(T2*1000)/L2</calculatedColumnFormula>
    </tableColumn>
    <tableColumn id="25" xr3:uid="{9FE8A120-667D-4F19-816A-5FFF232C1EE7}" name="PPM DECOLORANTE " dataDxfId="506" totalsRowDxfId="505">
      <calculatedColumnFormula>(U2*1000)/L2</calculatedColumnFormula>
    </tableColumn>
    <tableColumn id="26" xr3:uid="{39A5A5CD-B186-47FD-AE6C-D0DA41E39382}" name="PPM POL ANIONICO " dataDxfId="504" totalsRowDxfId="503">
      <calculatedColumnFormula>(V2*1000)/L2</calculatedColumnFormula>
    </tableColumn>
    <tableColumn id="27" xr3:uid="{F8AB9DCC-1003-4C35-9BE6-9E37DF927B08}" name="PPM POL CATIONICO" dataDxfId="502" totalsRowDxfId="501">
      <calculatedColumnFormula>(W2*1000)/L2</calculatedColumnFormula>
    </tableColumn>
    <tableColumn id="28" xr3:uid="{CE609211-2FE1-46A8-AF6B-F6AAFA38AC6C}" name="DENSIDAD ACIDO" dataDxfId="500" totalsRowDxfId="499"/>
    <tableColumn id="29" xr3:uid="{26E48531-C8F5-4079-8037-57ED96A4A976}" name="DENSIDAD COAGULANTE" dataDxfId="498" totalsRowDxfId="497"/>
    <tableColumn id="30" xr3:uid="{CA42BDD6-E35F-4650-A2AD-2B882E2985C0}" name="DENSIDAD DECOLORANTE" dataDxfId="496" totalsRowDxfId="495"/>
    <tableColumn id="31" xr3:uid="{213F817F-0E9B-47EF-9F76-E320E6B3052B}" name="DENSIDAD ANIONICO" dataDxfId="494" totalsRowDxfId="493"/>
    <tableColumn id="32" xr3:uid="{4BB0F123-E730-4842-BC86-E2064FC88FFF}" name="DENSIDAD CATIONICO" dataDxfId="492" totalsRowDxfId="491"/>
    <tableColumn id="33" xr3:uid="{B2BD1E5E-CBC5-493D-B4B1-9DA910A0C1F1}" name="PRECIO (KG) ACIDO" dataDxfId="490" totalsRowDxfId="489"/>
    <tableColumn id="34" xr3:uid="{4972F7E0-8FD1-4EF3-B1FB-369777963AB1}" name="PRECIO (KG) COAGULANTE" dataDxfId="488" totalsRowDxfId="487"/>
    <tableColumn id="35" xr3:uid="{A844FAF9-9CDA-4E3B-98E2-E766500E3FE0}" name="PRECIO (KG) DECOLORANTE" dataDxfId="486" totalsRowDxfId="485"/>
    <tableColumn id="36" xr3:uid="{ECBD8F2B-41C8-484E-B81D-4DA820DAB619}" name="PRECIO (KG) ANIONICO" dataDxfId="484" totalsRowDxfId="483"/>
    <tableColumn id="37" xr3:uid="{8EACD521-2BF4-44D1-B345-3B0CA4AB45E0}" name="PRECIO (KG) CATIONICO" dataDxfId="482" totalsRowDxfId="481"/>
    <tableColumn id="51" xr3:uid="{55C56D81-BC85-44D8-B16B-E4FDEEFD2F3C}" name="COSTO OPERATIVO ACIDO" totalsRowFunction="custom" dataDxfId="480" totalsRowDxfId="479" dataCellStyle="Millares">
      <calculatedColumnFormula>S2*AH2</calculatedColumnFormula>
      <totalsRowFormula>S97*AH97</totalsRowFormula>
    </tableColumn>
    <tableColumn id="38" xr3:uid="{017EFE46-D96A-42E1-8707-878704C5E501}" name="COSTO OPERATIVO COAGULANTE" totalsRowFunction="custom" dataDxfId="478" totalsRowDxfId="477">
      <calculatedColumnFormula>T2*AI2</calculatedColumnFormula>
      <totalsRowFormula>T97*AI97</totalsRowFormula>
    </tableColumn>
    <tableColumn id="39" xr3:uid="{99F19967-E3ED-4C22-BFB3-6A96F4CA9289}" name="COSTO OPERATIVO DECOLORANTE" totalsRowFunction="custom" dataDxfId="476" totalsRowDxfId="475">
      <calculatedColumnFormula>U2*AJ2</calculatedColumnFormula>
      <totalsRowFormula>U97*AJ97</totalsRowFormula>
    </tableColumn>
    <tableColumn id="40" xr3:uid="{07CF8F42-BA08-4C48-A2E4-4DBB283A4E23}" name="COSTO OPERATIVO ANIONICO" totalsRowFunction="custom" dataDxfId="474" totalsRowDxfId="473">
      <calculatedColumnFormula>V2*AK2</calculatedColumnFormula>
      <totalsRowFormula>V97*AK97</totalsRowFormula>
    </tableColumn>
    <tableColumn id="41" xr3:uid="{FB818BA1-8137-4F90-8B4E-4979316FAB5A}" name="COSTO OPERATIVO CATIONICO" totalsRowFunction="custom" dataDxfId="472" totalsRowDxfId="471">
      <calculatedColumnFormula>W2*AL2</calculatedColumnFormula>
      <totalsRowFormula>W97*AL97</totalsRowFormula>
    </tableColumn>
    <tableColumn id="42" xr3:uid="{C925CA67-4C0E-4B28-8CD9-B1CD4B61FBAB}" name="COSTO QUIMICA " dataDxfId="470" totalsRowDxfId="469">
      <calculatedColumnFormula>SUM(Tabla1[[#This Row],[COSTO OPERATIVO ACIDO]:[COSTO OPERATIVO CATIONICO]])</calculatedColumnFormula>
    </tableColumn>
    <tableColumn id="43" xr3:uid="{AD7ED194-6217-4171-9A5E-722504A09916}" name="LIMITE INDICADOR M3" totalsRowFunction="custom" dataDxfId="468" totalsRowDxfId="467">
      <totalsRowFormula>SUM(AS2:AS37)</totalsRowFormula>
    </tableColumn>
    <tableColumn id="45" xr3:uid="{917AA0D6-1159-42C0-BFE1-D283A0204659}" name="$ m3" dataDxfId="466" totalsRowDxfId="465">
      <calculatedColumnFormula>AR2/L2</calculatedColumnFormula>
    </tableColumn>
    <tableColumn id="9" xr3:uid="{9592E80F-E524-4827-91FD-B2ECCB6E9AE9}" name="HORAS DE OPERACIÓN" dataDxfId="464" totalsRowDxfId="463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B96" totalsRowCount="1" headerRowDxfId="241" dataDxfId="239" headerRowBorderDxfId="240" dataCellStyle="Moneda">
  <autoFilter ref="A1:BB95" xr:uid="{1B6F41AC-77AF-4386-8D11-23242FAF90E8}"/>
  <sortState xmlns:xlrd2="http://schemas.microsoft.com/office/spreadsheetml/2017/richdata2" ref="A2:BB95">
    <sortCondition ref="A1:A95"/>
  </sortState>
  <tableColumns count="54">
    <tableColumn id="1" xr3:uid="{CC590991-2A1A-4D5C-B65D-9930977908D8}" name="FECHA" dataDxfId="238" totalsRowDxfId="237"/>
    <tableColumn id="54" xr3:uid="{9A818E5C-5192-4396-A7BC-405EB3227304}" name="DIA" dataDxfId="236" totalsRowDxfId="235">
      <calculatedColumnFormula>DAY(Tabla2[[#This Row],[FECHA]])</calculatedColumnFormula>
    </tableColumn>
    <tableColumn id="2" xr3:uid="{0DF8C586-856D-4C65-B4FB-1FC5DE6691B5}" name="TURNO" dataDxfId="234"/>
    <tableColumn id="3" xr3:uid="{C72CF01B-5D8E-4114-8039-5372DB2EFC73}" name="HCL (10%)" dataDxfId="233" totalsRowDxfId="232"/>
    <tableColumn id="4" xr3:uid="{2856B276-2C23-4389-801C-3F8DE875B88F}" name="KURIVERTER IK-220 (Biocida)" dataDxfId="231" totalsRowDxfId="230"/>
    <tableColumn id="5" xr3:uid="{8EBA9A5D-A07B-43C3-898E-67582DEA4511}" name="VITEC 7000 (Antiincrustante)" dataDxfId="229" totalsRowDxfId="228"/>
    <tableColumn id="6" xr3:uid="{DA0ECB86-EF9A-4745-A19C-F1F06CA6ECCF}" name="Hidróxido de Sodio (NaOH)" dataDxfId="227"/>
    <tableColumn id="7" xr3:uid="{0326820F-4E40-47C1-8F97-879B4E50F2F6}" name="Bisulfito de sodio " dataDxfId="226"/>
    <tableColumn id="55" xr3:uid="{7DF4B77E-F956-4875-A047-7C2F1A1C2B5E}" name="TIEMPO DE OPERACIÓN (minutos)" dataDxfId="225" totalsRowDxfId="224">
      <calculatedColumnFormula>Tabla2[[#This Row],[VOLUMEN ENVIADO A RO (m3)]]/Tabla2[[#This Row],[Q DE OPERACIÓN (m3/h)]]</calculatedColumnFormula>
    </tableColumn>
    <tableColumn id="33" xr3:uid="{E83D2B0F-D3A9-4DD1-9B93-643DDFF1148A}" name="VOLUMEN ENVIADO A RO (m3)" dataDxfId="223" totalsRowDxfId="222"/>
    <tableColumn id="34" xr3:uid="{3CED80EE-F7B2-4B85-A1B1-0053DD535481}" name="Q DE OPERACIÓN (m3/h)" dataDxfId="221" totalsRowDxfId="220"/>
    <tableColumn id="8" xr3:uid="{5062A74B-BC0E-4E63-BE12-3512AD9515F1}" name="cm HCL (10%)" dataDxfId="219" totalsRowDxfId="218"/>
    <tableColumn id="9" xr3:uid="{8529AFE4-E51B-4C9D-90FF-3CA6BA16A7D7}" name="cm IK-220 (Biocida)" dataDxfId="217" totalsRowDxfId="216"/>
    <tableColumn id="10" xr3:uid="{C27E6998-1AB7-40C5-9872-F136B97B99E8}" name="cm Vitec 7000/4000" dataDxfId="215" totalsRowDxfId="214"/>
    <tableColumn id="11" xr3:uid="{C8B09375-E483-4508-BC53-B6655E1C7B6A}" name="cm NaOH" dataDxfId="213" totalsRowDxfId="212"/>
    <tableColumn id="12" xr3:uid="{128C444D-DA78-4568-A422-F11D52858461}" name="cm Bisulfito de sodio" dataDxfId="211" totalsRowDxfId="210"/>
    <tableColumn id="13" xr3:uid="{7FBF2940-699F-4035-A510-31AFB65D6411}" name="(INV- L) - HCL (10%)" dataDxfId="209" totalsRowDxfId="208">
      <calculatedColumnFormula>L2*(1000/114)</calculatedColumnFormula>
    </tableColumn>
    <tableColumn id="14" xr3:uid="{767F6605-A3F2-492F-945E-DDC0CAB2DB84}" name="(INV -L) - KURIVERTER IK-220 (Biocida)" dataDxfId="207" totalsRowDxfId="206">
      <calculatedColumnFormula>M2*(1000/114)</calculatedColumnFormula>
    </tableColumn>
    <tableColumn id="15" xr3:uid="{96362BE9-7A65-46CD-A85D-EAE9FD4E4A3E}" name="(INV -L) - VITEC 7000 (Antiincrustante)" dataDxfId="205" totalsRowDxfId="204">
      <calculatedColumnFormula>N2*(1000/114)</calculatedColumnFormula>
    </tableColumn>
    <tableColumn id="16" xr3:uid="{669C88A5-5B67-4E1A-848D-B906D749A1F4}" name="(INV -L) - Hidróxido de Sodio (NaOH)" dataDxfId="203" totalsRowDxfId="202">
      <calculatedColumnFormula>O2*(1000/114)</calculatedColumnFormula>
    </tableColumn>
    <tableColumn id="17" xr3:uid="{9644B846-08DF-40FB-BA21-D462B2539F82}" name="(INV -L) Bisulfito de sodio " dataDxfId="201" totalsRowDxfId="200">
      <calculatedColumnFormula>P2*(1000/114)</calculatedColumnFormula>
    </tableColumn>
    <tableColumn id="18" xr3:uid="{53BA0641-3357-40F8-A768-B0970273D359}" name="CONSUMO (L) HCL (10%)2" dataDxfId="199" totalsRowDxfId="198">
      <calculatedColumnFormula>Q2-Q3</calculatedColumnFormula>
    </tableColumn>
    <tableColumn id="19" xr3:uid="{2741AB60-1BD3-4EB2-97E3-C0905064841C}" name="CONSUMO (L) KURIVERTER IK-220 (Biocida)" dataDxfId="197" totalsRowDxfId="196">
      <calculatedColumnFormula>R2-R3</calculatedColumnFormula>
    </tableColumn>
    <tableColumn id="20" xr3:uid="{9E39C560-B3C5-42C5-A83B-32163ABBC3C2}" name="CONSUMO (L) VITEC 7000 (Antiincrustante)" dataDxfId="195" totalsRowDxfId="194">
      <calculatedColumnFormula>S2-S3</calculatedColumnFormula>
    </tableColumn>
    <tableColumn id="21" xr3:uid="{F636A971-349F-44EC-AA4A-D65B46EA4509}" name="CONSUMO (L) Hidróxido de Sodio (NaOH)" dataDxfId="193" totalsRowDxfId="192">
      <calculatedColumnFormula>T2-T3</calculatedColumnFormula>
    </tableColumn>
    <tableColumn id="22" xr3:uid="{7781554F-7B54-4EA7-9016-7A7B8EB508E9}" name="CONSUMO (L) Bisulfito de sodio" dataDxfId="191" totalsRowDxfId="190">
      <calculatedColumnFormula>U2-U3</calculatedColumnFormula>
    </tableColumn>
    <tableColumn id="23" xr3:uid="{F13E2BB3-287E-4571-8E69-9289518AA148}" name="DENSIDAD HCL (10%)" dataDxfId="189" totalsRowDxfId="188"/>
    <tableColumn id="24" xr3:uid="{48AD8845-7C14-4043-8230-B0183351ED07}" name="DENSIDAD KURIVERTER IK-220 (Biocida)" dataDxfId="187" totalsRowDxfId="186"/>
    <tableColumn id="25" xr3:uid="{CF20E6D5-D7BC-4306-8839-F79454AD170E}" name="DENSIDAD VITEC 7000 (Antiincrustante)" dataDxfId="185" totalsRowDxfId="184"/>
    <tableColumn id="26" xr3:uid="{98855FE0-4207-41E8-ADD5-911DF75A035E}" name="DENSIDAD Hidróxido de Sodio (NaOH)" dataDxfId="183" totalsRowDxfId="182"/>
    <tableColumn id="27" xr3:uid="{46CA938B-A3A3-4599-9D37-141EFFA96426}" name="DENSIDAD Bisulfito de sodio " dataDxfId="181" totalsRowDxfId="180"/>
    <tableColumn id="28" xr3:uid="{BB957096-4718-4076-8B2F-A9CEE034434C}" name="CONSUMO (Kg) HCL (10%)22" dataDxfId="179" totalsRowDxfId="178">
      <calculatedColumnFormula>V2*AA2</calculatedColumnFormula>
    </tableColumn>
    <tableColumn id="29" xr3:uid="{52C49479-4664-4FBE-98D2-F00B1BF76CEF}" name="CONSUMO (Kg) KURIVERTER IK-220 (Biocida)" dataDxfId="177" totalsRowDxfId="176">
      <calculatedColumnFormula>W2*AB2</calculatedColumnFormula>
    </tableColumn>
    <tableColumn id="30" xr3:uid="{6B19FE49-AB7C-43BE-9391-EA71817E3452}" name="CONSUMO (Kg) VITEC 7000 (Antiincrustante)" dataDxfId="175" totalsRowDxfId="174">
      <calculatedColumnFormula>X2*AC2</calculatedColumnFormula>
    </tableColumn>
    <tableColumn id="31" xr3:uid="{734CA6A9-E5CE-4779-AA1F-8FA5FC6C53BA}" name="CONSUMO (Kg) Hidróxido de Sodio (NaOH)" dataDxfId="173" totalsRowDxfId="172">
      <calculatedColumnFormula>Y2*AD2</calculatedColumnFormula>
    </tableColumn>
    <tableColumn id="32" xr3:uid="{5D0EA3E3-830A-4420-B486-CA1E94B17A6C}" name="CONSUMO (Kg) Bisulfito de sodio6" dataDxfId="171" totalsRowDxfId="170">
      <calculatedColumnFormula>Z2*AE2</calculatedColumnFormula>
    </tableColumn>
    <tableColumn id="36" xr3:uid="{05276D4B-845D-40F6-BAA9-617D98D8BD04}" name="PPM HCL (10%)" dataDxfId="169" totalsRowDxfId="168">
      <calculatedColumnFormula>(AF2*1000)/$J2</calculatedColumnFormula>
    </tableColumn>
    <tableColumn id="37" xr3:uid="{75B2E292-4009-4477-A946-4D4298E6F844}" name="PPM  KURIVERTER IK-220 (Biocida)" dataDxfId="167" totalsRowDxfId="166">
      <calculatedColumnFormula>(AG2*1000)/$J2</calculatedColumnFormula>
    </tableColumn>
    <tableColumn id="38" xr3:uid="{06E157F8-1F10-4C7E-9FC5-774A2972ADFD}" name="PPM  VITEC 7000 (Antiincrustante)" dataDxfId="165" totalsRowDxfId="164">
      <calculatedColumnFormula>(AH2*1000)/$J2</calculatedColumnFormula>
    </tableColumn>
    <tableColumn id="39" xr3:uid="{8685D8D8-27CE-4650-9824-906C8595A541}" name="PPM  Hidróxido de Sodio (NaOH)" dataDxfId="163" totalsRowDxfId="162">
      <calculatedColumnFormula>(AI2*1000)/$J2</calculatedColumnFormula>
    </tableColumn>
    <tableColumn id="40" xr3:uid="{D50B03E8-53AC-44DD-9B94-4A31095A3539}" name="PPM Bisulfito de sodio " dataDxfId="161" totalsRowDxfId="160">
      <calculatedColumnFormula>(AJ2*1000)/$J2</calculatedColumnFormula>
    </tableColumn>
    <tableColumn id="41" xr3:uid="{8ACA5EC2-DCCB-42D8-B7AA-9AD08580F95E}" name="PRECIO HCL (10%)" dataDxfId="159" totalsRowDxfId="158" dataCellStyle="Moneda"/>
    <tableColumn id="42" xr3:uid="{8FEBCB0C-D97F-473C-9CBB-5F23546078B2}" name="PRECIO KURIVERTER IK-220 (Biocida)" dataDxfId="157" totalsRowDxfId="156" dataCellStyle="Moneda"/>
    <tableColumn id="43" xr3:uid="{6EF000A7-EA79-49BA-9BF9-404574772CBB}" name="PRECIO VITEC 7000 (Antiincrustante)" dataDxfId="155" totalsRowDxfId="154" dataCellStyle="Moneda"/>
    <tableColumn id="44" xr3:uid="{03B26517-4C1F-4C23-822C-014E2EA3E60C}" name="PRECIO Hidróxido de Sodio (NaOH)" dataDxfId="153" totalsRowDxfId="152" dataCellStyle="Moneda"/>
    <tableColumn id="45" xr3:uid="{2769F69A-BB42-49A8-82F3-638C6F0A80CA}" name="PRECIO Bisulfito de sodio " dataDxfId="151" totalsRowDxfId="150" dataCellStyle="Moneda"/>
    <tableColumn id="46" xr3:uid="{BAAEDBD9-EF26-4E02-81A9-B1D36D645F1E}" name="COSTO OPERATIVO HCL (10%)" dataDxfId="149" totalsRowDxfId="148" dataCellStyle="Moneda">
      <calculatedColumnFormula>AP2*(AG2*0.8)</calculatedColumnFormula>
    </tableColumn>
    <tableColumn id="47" xr3:uid="{B5977102-7103-4418-A127-AF580B742AE8}" name="COSTO OPERATIVO KURIVERTER IK-220 (Biocida)" dataDxfId="147" totalsRowDxfId="146" dataCellStyle="Moneda">
      <calculatedColumnFormula>AQ2*(AH2*0.012)</calculatedColumnFormula>
    </tableColumn>
    <tableColumn id="48" xr3:uid="{9536BE99-8364-49D7-84C0-3FC4CBA7F3A7}" name="COSTO OPERATIVO VITEC 7000 (Antiincrustante)" dataDxfId="145" totalsRowDxfId="144" dataCellStyle="Moneda">
      <calculatedColumnFormula>AR2*(AI2*0.044)</calculatedColumnFormula>
    </tableColumn>
    <tableColumn id="49" xr3:uid="{7386E060-0060-4586-B378-BFC4068453CB}" name="COSTO OPERATIVO Hidróxido de Sodio (NaOH)" dataDxfId="143" totalsRowDxfId="142" dataCellStyle="Moneda">
      <calculatedColumnFormula>AS2*AJ2</calculatedColumnFormula>
    </tableColumn>
    <tableColumn id="50" xr3:uid="{8A7A5227-ECD0-4C68-977D-4B6AE2E15060}" name="COSTO OPERATIVO Bisulfito de sodio " dataDxfId="141" totalsRowDxfId="140" dataCellStyle="Moneda">
      <calculatedColumnFormula>AT2*(J2*0.025)</calculatedColumnFormula>
    </tableColumn>
    <tableColumn id="51" xr3:uid="{EB2B1E33-86A6-442A-A8E9-3128FF18FE4D}" name="COSTO QUIMICA " totalsRowFunction="custom" dataDxfId="139" totalsRowDxfId="138" dataCellStyle="Moneda">
      <calculatedColumnFormula>AU2+AV2+AW2+AX2+AY2</calculatedColumnFormula>
      <totalsRowFormula>SUM(AZ2:AZ94)</totalsRowFormula>
    </tableColumn>
    <tableColumn id="52" xr3:uid="{3F7A5D66-3F1B-4B04-9E57-A68AEC7AB87A}" name="LIMITE INDICADOR M3" dataDxfId="137" totalsRowDxfId="136" dataCellStyle="Moneda"/>
    <tableColumn id="53" xr3:uid="{8E9239AA-01A3-456B-98A2-5FD0E2DF97E7}" name="$m3 ENVIADO A RO (m3)" dataDxfId="135" totalsRowDxfId="134" dataCellStyle="Moneda">
      <calculatedColumnFormula>+Tabla2[[#This Row],[COSTO QUIMICA ]]/Tabla2[[#This Row],[VOLUMEN ENVIADO A RO (m3)]]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594DACD2-7118-4E05-A131-CBDE2572C447}">
    <text>Se alimento a reactores y se requirió bajar ph</text>
  </threadedComment>
  <threadedComment ref="Z9" dT="2024-10-04T17:25:31.29" personId="{EE5C7DE3-FA37-4B1A-A8D2-FF232E6C14FC}" id="{21DC9766-0F1A-4752-9699-33BC3B8A70A4}">
    <text>Por alimentacion a reactores, ara reducir color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4" Type="http://schemas.openxmlformats.org/officeDocument/2006/relationships/pivotTable" Target="../pivotTables/pivotTable1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4F3-8C85-4C70-AE94-23B0F52C6AF9}">
  <sheetPr codeName="Hoja1"/>
  <dimension ref="B1:AC35"/>
  <sheetViews>
    <sheetView zoomScale="115" zoomScaleNormal="115" workbookViewId="0">
      <selection activeCell="R10" sqref="R10"/>
    </sheetView>
  </sheetViews>
  <sheetFormatPr baseColWidth="10" defaultRowHeight="15" x14ac:dyDescent="0.25"/>
  <cols>
    <col min="1" max="1" width="1.42578125" customWidth="1"/>
    <col min="2" max="2" width="9.42578125" customWidth="1"/>
    <col min="3" max="3" width="32.5703125" customWidth="1"/>
    <col min="4" max="4" width="6.85546875" customWidth="1"/>
    <col min="5" max="5" width="9.140625" customWidth="1"/>
    <col min="6" max="7" width="7.140625" customWidth="1"/>
    <col min="8" max="8" width="6.5703125" hidden="1" customWidth="1"/>
    <col min="9" max="9" width="7.42578125" hidden="1" customWidth="1"/>
    <col min="10" max="10" width="6" hidden="1" customWidth="1"/>
    <col min="11" max="11" width="6.5703125" hidden="1" customWidth="1"/>
    <col min="12" max="12" width="6.42578125" hidden="1" customWidth="1"/>
    <col min="13" max="13" width="8.85546875" hidden="1" customWidth="1"/>
    <col min="14" max="14" width="6.5703125" hidden="1" customWidth="1"/>
    <col min="15" max="15" width="8.140625" hidden="1" customWidth="1"/>
    <col min="16" max="16" width="7.85546875" hidden="1" customWidth="1"/>
    <col min="17" max="17" width="8.42578125" hidden="1" customWidth="1"/>
    <col min="18" max="20" width="8.42578125" customWidth="1"/>
    <col min="21" max="21" width="8.85546875" customWidth="1"/>
    <col min="22" max="22" width="13.85546875" customWidth="1"/>
    <col min="23" max="24" width="8.85546875" customWidth="1"/>
    <col min="29" max="29" width="33.5703125" customWidth="1"/>
  </cols>
  <sheetData>
    <row r="1" spans="2:29" ht="4.7" customHeight="1" thickBot="1" x14ac:dyDescent="0.3"/>
    <row r="2" spans="2:29" ht="11.25" customHeight="1" thickBot="1" x14ac:dyDescent="0.3">
      <c r="B2" s="742" t="s">
        <v>364</v>
      </c>
      <c r="C2" s="743"/>
      <c r="D2" s="743"/>
      <c r="E2" s="744"/>
      <c r="F2" s="686"/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7"/>
      <c r="S2" s="687"/>
      <c r="T2" s="687"/>
      <c r="U2" s="686"/>
      <c r="V2" s="687"/>
      <c r="W2" s="687"/>
      <c r="X2" s="687"/>
      <c r="Y2" s="687"/>
      <c r="Z2" s="688"/>
      <c r="AA2" s="689"/>
    </row>
    <row r="3" spans="2:29" ht="25.5" customHeight="1" thickBot="1" x14ac:dyDescent="0.3">
      <c r="B3" s="714" t="s">
        <v>365</v>
      </c>
      <c r="C3" s="717" t="s">
        <v>366</v>
      </c>
      <c r="D3" s="717" t="s">
        <v>367</v>
      </c>
      <c r="E3" s="511" t="s">
        <v>368</v>
      </c>
      <c r="F3" s="444" t="s">
        <v>424</v>
      </c>
      <c r="G3" s="444" t="s">
        <v>425</v>
      </c>
      <c r="H3" s="444" t="s">
        <v>370</v>
      </c>
      <c r="I3" s="444" t="s">
        <v>371</v>
      </c>
      <c r="J3" s="444" t="s">
        <v>372</v>
      </c>
      <c r="K3" s="445" t="s">
        <v>373</v>
      </c>
      <c r="L3" s="445" t="s">
        <v>374</v>
      </c>
      <c r="M3" s="445" t="s">
        <v>375</v>
      </c>
      <c r="N3" s="444" t="s">
        <v>376</v>
      </c>
      <c r="O3" s="444" t="s">
        <v>377</v>
      </c>
      <c r="P3" s="446" t="s">
        <v>378</v>
      </c>
      <c r="Q3" s="745" t="s">
        <v>379</v>
      </c>
      <c r="R3" s="680" t="s">
        <v>405</v>
      </c>
      <c r="S3" s="690" t="s">
        <v>406</v>
      </c>
      <c r="T3" s="683" t="s">
        <v>413</v>
      </c>
      <c r="U3" s="695" t="s">
        <v>380</v>
      </c>
      <c r="V3" s="680" t="s">
        <v>407</v>
      </c>
      <c r="W3" s="690" t="s">
        <v>410</v>
      </c>
      <c r="X3" s="683" t="s">
        <v>411</v>
      </c>
      <c r="Y3" s="680" t="s">
        <v>408</v>
      </c>
      <c r="Z3" s="690" t="s">
        <v>409</v>
      </c>
      <c r="AA3" s="683" t="s">
        <v>412</v>
      </c>
    </row>
    <row r="4" spans="2:29" ht="10.5" customHeight="1" thickBot="1" x14ac:dyDescent="0.3">
      <c r="B4" s="715"/>
      <c r="C4" s="718"/>
      <c r="D4" s="718"/>
      <c r="E4" s="701" t="s">
        <v>383</v>
      </c>
      <c r="F4" s="693"/>
      <c r="G4" s="693"/>
      <c r="H4" s="693"/>
      <c r="I4" s="693"/>
      <c r="J4" s="693"/>
      <c r="K4" s="693"/>
      <c r="L4" s="693"/>
      <c r="M4" s="693"/>
      <c r="N4" s="693"/>
      <c r="O4" s="693"/>
      <c r="P4" s="694"/>
      <c r="Q4" s="746"/>
      <c r="R4" s="681"/>
      <c r="S4" s="691"/>
      <c r="T4" s="684"/>
      <c r="U4" s="696"/>
      <c r="V4" s="681"/>
      <c r="W4" s="691"/>
      <c r="X4" s="684"/>
      <c r="Y4" s="681"/>
      <c r="Z4" s="691"/>
      <c r="AA4" s="684"/>
    </row>
    <row r="5" spans="2:29" ht="10.5" customHeight="1" thickBot="1" x14ac:dyDescent="0.3">
      <c r="B5" s="716"/>
      <c r="C5" s="719"/>
      <c r="D5" s="719"/>
      <c r="E5" s="702"/>
      <c r="F5" s="448">
        <v>28996.038995013121</v>
      </c>
      <c r="G5" s="448">
        <f>'DB QUIMICA'!Z8</f>
        <v>32414</v>
      </c>
      <c r="H5" s="448">
        <f>'[1]PLAN MAESTRO BOGOTA RECIRCU'!L5</f>
        <v>28996.038995013121</v>
      </c>
      <c r="I5" s="448">
        <f>'[1]PLAN MAESTRO BOGOTA RECIRCU'!N5</f>
        <v>31421.600339636221</v>
      </c>
      <c r="J5" s="448">
        <f>'[1]PLAN MAESTRO BOGOTA RECIRCU'!P5</f>
        <v>34249.300539058881</v>
      </c>
      <c r="K5" s="449">
        <f>'[1]PLAN MAESTRO BOGOTA RECIRCU'!R5</f>
        <v>40509.091493235203</v>
      </c>
      <c r="L5" s="449">
        <f>'[1]PLAN MAESTRO BOGOTA RECIRCU'!T5</f>
        <v>40285.49200255872</v>
      </c>
      <c r="M5" s="449">
        <f>'[1]PLAN MAESTRO BOGOTA RECIRCU'!V5</f>
        <v>43482.436859595713</v>
      </c>
      <c r="N5" s="448">
        <f>'[1]PLAN MAESTRO BOGOTA RECIRCU'!X5</f>
        <v>40858.186350272197</v>
      </c>
      <c r="O5" s="448">
        <f>'[1]PLAN MAESTRO BOGOTA RECIRCU'!Z5</f>
        <v>26685.67577546708</v>
      </c>
      <c r="P5" s="450">
        <f>'[1]PLAN MAESTRO BOGOTA RECIRCU'!AB5</f>
        <v>13422.465444558526</v>
      </c>
      <c r="Q5" s="494">
        <f>SUM(F5:P5)</f>
        <v>361320.32679440879</v>
      </c>
      <c r="R5" s="682"/>
      <c r="S5" s="692"/>
      <c r="T5" s="685"/>
      <c r="U5" s="697"/>
      <c r="V5" s="682"/>
      <c r="W5" s="692"/>
      <c r="X5" s="685"/>
      <c r="Y5" s="682"/>
      <c r="Z5" s="692"/>
      <c r="AA5" s="685"/>
    </row>
    <row r="6" spans="2:29" ht="13.7" customHeight="1" x14ac:dyDescent="0.25">
      <c r="B6" s="725" t="s">
        <v>384</v>
      </c>
      <c r="C6" s="501" t="s">
        <v>385</v>
      </c>
      <c r="D6" s="502" t="s">
        <v>386</v>
      </c>
      <c r="E6" s="512">
        <v>1.3583636363636362E-2</v>
      </c>
      <c r="F6" s="455">
        <v>393.8716496940782</v>
      </c>
      <c r="G6" s="455">
        <f>19*2</f>
        <v>38</v>
      </c>
      <c r="H6" s="455">
        <f t="shared" ref="H6:P6" si="0">$E$6*H5</f>
        <v>393.8716496940782</v>
      </c>
      <c r="I6" s="455">
        <f t="shared" si="0"/>
        <v>426.81959297713121</v>
      </c>
      <c r="J6" s="455">
        <f t="shared" si="0"/>
        <v>465.23004423147069</v>
      </c>
      <c r="K6" s="455">
        <f t="shared" si="0"/>
        <v>550.26076826538213</v>
      </c>
      <c r="L6" s="455">
        <f t="shared" si="0"/>
        <v>547.22347409293843</v>
      </c>
      <c r="M6" s="455">
        <f t="shared" si="0"/>
        <v>590.64961050552643</v>
      </c>
      <c r="N6" s="455">
        <f t="shared" si="0"/>
        <v>555.00274585978832</v>
      </c>
      <c r="O6" s="455">
        <f t="shared" si="0"/>
        <v>362.48851585184462</v>
      </c>
      <c r="P6" s="456">
        <f t="shared" si="0"/>
        <v>182.3258897023577</v>
      </c>
      <c r="Q6" s="526">
        <f t="shared" ref="Q6:Q20" si="1">+SUM(F6:P6)</f>
        <v>4505.7439408745968</v>
      </c>
      <c r="R6" s="529">
        <f t="shared" ref="R6:R20" si="2">F6/$F$5</f>
        <v>1.3583636363636362E-2</v>
      </c>
      <c r="S6" s="517">
        <f t="shared" ref="S6:S20" si="3">G6/$G$5</f>
        <v>1.1723329425556857E-3</v>
      </c>
      <c r="T6" s="495">
        <f t="shared" ref="T6:T7" si="4">1-S6/R6</f>
        <v>0.91369520567452456</v>
      </c>
      <c r="U6" s="457">
        <v>1650</v>
      </c>
      <c r="V6" s="503">
        <f t="shared" ref="V6:V23" si="5">F6*U6</f>
        <v>649888.22199522902</v>
      </c>
      <c r="W6" s="504">
        <f t="shared" ref="W6:W23" si="6">G6*U6</f>
        <v>62700</v>
      </c>
      <c r="X6" s="495">
        <f t="shared" ref="X6:X20" si="7">1-W6/V6</f>
        <v>0.90352187056490418</v>
      </c>
      <c r="Y6" s="505">
        <f t="shared" ref="Y6:Y20" si="8">V6/$F$5</f>
        <v>22.412999999999997</v>
      </c>
      <c r="Z6" s="521">
        <f t="shared" ref="Z6:Z20" si="9">W6/$G$5</f>
        <v>1.9343493552168816</v>
      </c>
      <c r="AA6" s="523">
        <f t="shared" ref="AA6:AA20" si="10">Y6-Z6</f>
        <v>20.478650644783116</v>
      </c>
      <c r="AC6" t="s">
        <v>418</v>
      </c>
    </row>
    <row r="7" spans="2:29" x14ac:dyDescent="0.25">
      <c r="B7" s="726"/>
      <c r="C7" s="506" t="s">
        <v>387</v>
      </c>
      <c r="D7" s="461" t="s">
        <v>386</v>
      </c>
      <c r="E7" s="513">
        <v>1.1916666666666666E-3</v>
      </c>
      <c r="F7" s="463">
        <v>34.553613135723971</v>
      </c>
      <c r="G7" s="463">
        <v>0</v>
      </c>
      <c r="H7" s="463">
        <f t="shared" ref="H7:P7" si="11">$E$7*H5</f>
        <v>34.553613135723971</v>
      </c>
      <c r="I7" s="463">
        <f t="shared" si="11"/>
        <v>37.444073738066493</v>
      </c>
      <c r="J7" s="463">
        <f t="shared" si="11"/>
        <v>40.813749809045163</v>
      </c>
      <c r="K7" s="463">
        <f t="shared" si="11"/>
        <v>48.273334029438615</v>
      </c>
      <c r="L7" s="463">
        <f t="shared" si="11"/>
        <v>48.006877969715802</v>
      </c>
      <c r="M7" s="463">
        <f t="shared" si="11"/>
        <v>51.81657059101822</v>
      </c>
      <c r="N7" s="463">
        <f t="shared" si="11"/>
        <v>48.689338734074369</v>
      </c>
      <c r="O7" s="463">
        <f t="shared" si="11"/>
        <v>31.80043029909827</v>
      </c>
      <c r="P7" s="464">
        <f t="shared" si="11"/>
        <v>15.995104654765576</v>
      </c>
      <c r="Q7" s="527">
        <f t="shared" si="1"/>
        <v>391.94670609667037</v>
      </c>
      <c r="R7" s="530">
        <f t="shared" si="2"/>
        <v>1.1916666666666668E-3</v>
      </c>
      <c r="S7" s="518">
        <f t="shared" si="3"/>
        <v>0</v>
      </c>
      <c r="T7" s="495">
        <f t="shared" si="4"/>
        <v>1</v>
      </c>
      <c r="U7" s="465">
        <v>4200</v>
      </c>
      <c r="V7" s="496">
        <f t="shared" si="5"/>
        <v>145125.17517004069</v>
      </c>
      <c r="W7" s="458">
        <f t="shared" si="6"/>
        <v>0</v>
      </c>
      <c r="X7" s="495">
        <f t="shared" si="7"/>
        <v>1</v>
      </c>
      <c r="Y7" s="499">
        <f t="shared" si="8"/>
        <v>5.0050000000000008</v>
      </c>
      <c r="Z7" s="491">
        <f t="shared" si="9"/>
        <v>0</v>
      </c>
      <c r="AA7" s="524">
        <f t="shared" si="10"/>
        <v>5.0050000000000008</v>
      </c>
    </row>
    <row r="8" spans="2:29" x14ac:dyDescent="0.25">
      <c r="B8" s="726"/>
      <c r="C8" s="506" t="s">
        <v>388</v>
      </c>
      <c r="D8" s="467" t="s">
        <v>386</v>
      </c>
      <c r="E8" s="514">
        <v>1.8118957707722468E-5</v>
      </c>
      <c r="F8" s="468">
        <v>0.52537800424211423</v>
      </c>
      <c r="G8" s="468">
        <f>120*1/1000</f>
        <v>0.12</v>
      </c>
      <c r="H8" s="468">
        <f t="shared" ref="H8:P8" si="12">$E$8*H5</f>
        <v>0.52537800424211423</v>
      </c>
      <c r="I8" s="468">
        <f t="shared" si="12"/>
        <v>0.56932664766282659</v>
      </c>
      <c r="J8" s="468">
        <f t="shared" si="12"/>
        <v>0.62056162798628423</v>
      </c>
      <c r="K8" s="468">
        <f t="shared" si="12"/>
        <v>0.73398251554418859</v>
      </c>
      <c r="L8" s="468">
        <f t="shared" si="12"/>
        <v>0.7299311258291532</v>
      </c>
      <c r="M8" s="468">
        <f t="shared" si="12"/>
        <v>0.78785643448772724</v>
      </c>
      <c r="N8" s="468">
        <f t="shared" si="12"/>
        <v>0.74030775049482533</v>
      </c>
      <c r="O8" s="468">
        <f t="shared" si="12"/>
        <v>0.48351663077768198</v>
      </c>
      <c r="P8" s="469">
        <f t="shared" si="12"/>
        <v>0.24320108372332219</v>
      </c>
      <c r="Q8" s="527">
        <f t="shared" si="1"/>
        <v>6.0794398249902377</v>
      </c>
      <c r="R8" s="531">
        <f>F8/$F$5</f>
        <v>1.8118957707722468E-5</v>
      </c>
      <c r="S8" s="519">
        <f t="shared" si="3"/>
        <v>3.7021040291232181E-6</v>
      </c>
      <c r="T8" s="495">
        <f>1-S8/R8</f>
        <v>0.79567787017101166</v>
      </c>
      <c r="U8" s="465">
        <v>180000</v>
      </c>
      <c r="V8" s="496">
        <f t="shared" si="5"/>
        <v>94568.04076358056</v>
      </c>
      <c r="W8" s="458">
        <f t="shared" si="6"/>
        <v>21600</v>
      </c>
      <c r="X8" s="495">
        <f t="shared" si="7"/>
        <v>0.77159302629521687</v>
      </c>
      <c r="Y8" s="499">
        <f t="shared" si="8"/>
        <v>3.261412387390044</v>
      </c>
      <c r="Z8" s="491">
        <f t="shared" si="9"/>
        <v>0.66637872524217934</v>
      </c>
      <c r="AA8" s="524">
        <f t="shared" si="10"/>
        <v>2.5950336621478645</v>
      </c>
      <c r="AC8" t="s">
        <v>419</v>
      </c>
    </row>
    <row r="9" spans="2:29" x14ac:dyDescent="0.25">
      <c r="B9" s="726"/>
      <c r="C9" s="506" t="s">
        <v>389</v>
      </c>
      <c r="D9" s="470" t="s">
        <v>386</v>
      </c>
      <c r="E9" s="515">
        <v>0.30804067524684736</v>
      </c>
      <c r="F9" s="463">
        <v>8931.9594315077593</v>
      </c>
      <c r="G9" s="463">
        <f>GRAFICAS!S32</f>
        <v>9321</v>
      </c>
      <c r="H9" s="463">
        <f t="shared" ref="H9:P9" si="13">$E$9*H5</f>
        <v>8931.9594315077593</v>
      </c>
      <c r="I9" s="463">
        <f t="shared" si="13"/>
        <v>9679.1309859581106</v>
      </c>
      <c r="J9" s="463">
        <f t="shared" si="13"/>
        <v>10550.177664783911</v>
      </c>
      <c r="K9" s="463">
        <f t="shared" si="13"/>
        <v>12478.447897212493</v>
      </c>
      <c r="L9" s="463">
        <f t="shared" si="13"/>
        <v>12409.570159119658</v>
      </c>
      <c r="M9" s="463">
        <f t="shared" si="13"/>
        <v>13394.359211608269</v>
      </c>
      <c r="N9" s="463">
        <f t="shared" si="13"/>
        <v>12585.983312699369</v>
      </c>
      <c r="O9" s="463">
        <f t="shared" si="13"/>
        <v>8220.2735852933165</v>
      </c>
      <c r="P9" s="464">
        <f t="shared" si="13"/>
        <v>4134.6653190192837</v>
      </c>
      <c r="Q9" s="527">
        <f t="shared" si="1"/>
        <v>110637.52699870993</v>
      </c>
      <c r="R9" s="530">
        <f t="shared" si="2"/>
        <v>0.30804067524684736</v>
      </c>
      <c r="S9" s="518">
        <f t="shared" si="3"/>
        <v>0.28756093046214598</v>
      </c>
      <c r="T9" s="495">
        <f>1-S9/R9</f>
        <v>6.6483897843328643E-2</v>
      </c>
      <c r="U9" s="465">
        <v>830</v>
      </c>
      <c r="V9" s="496">
        <f t="shared" si="5"/>
        <v>7413526.3281514402</v>
      </c>
      <c r="W9" s="458">
        <f t="shared" si="6"/>
        <v>7736430</v>
      </c>
      <c r="X9" s="495">
        <f t="shared" si="7"/>
        <v>-4.3556016065174674E-2</v>
      </c>
      <c r="Y9" s="499">
        <f t="shared" si="8"/>
        <v>255.67376045488331</v>
      </c>
      <c r="Z9" s="491">
        <f t="shared" si="9"/>
        <v>238.67557228358118</v>
      </c>
      <c r="AA9" s="524">
        <f t="shared" si="10"/>
        <v>16.998188171302132</v>
      </c>
    </row>
    <row r="10" spans="2:29" ht="24" customHeight="1" x14ac:dyDescent="0.25">
      <c r="B10" s="726"/>
      <c r="C10" s="506" t="s">
        <v>390</v>
      </c>
      <c r="D10" s="461" t="s">
        <v>386</v>
      </c>
      <c r="E10" s="513">
        <v>9.1306963630572498E-3</v>
      </c>
      <c r="F10" s="463">
        <v>264.7540277948325</v>
      </c>
      <c r="G10" s="463">
        <f>GRAFICAS!R55</f>
        <v>355</v>
      </c>
      <c r="H10" s="463">
        <f t="shared" ref="H10:P10" si="14">$E$10*H5</f>
        <v>264.7540277948325</v>
      </c>
      <c r="I10" s="463">
        <f t="shared" si="14"/>
        <v>286.9010919425549</v>
      </c>
      <c r="J10" s="463">
        <f t="shared" si="14"/>
        <v>312.71996386923962</v>
      </c>
      <c r="K10" s="463">
        <f t="shared" si="14"/>
        <v>369.87621436803602</v>
      </c>
      <c r="L10" s="463">
        <f t="shared" si="14"/>
        <v>367.8345953117348</v>
      </c>
      <c r="M10" s="463">
        <f t="shared" si="14"/>
        <v>397.02492809077711</v>
      </c>
      <c r="N10" s="463">
        <f t="shared" si="14"/>
        <v>373.06369350954571</v>
      </c>
      <c r="O10" s="463">
        <f t="shared" si="14"/>
        <v>243.65880274878222</v>
      </c>
      <c r="P10" s="464">
        <f t="shared" si="14"/>
        <v>122.55645641789214</v>
      </c>
      <c r="Q10" s="527">
        <f t="shared" si="1"/>
        <v>3358.1438018482277</v>
      </c>
      <c r="R10" s="530">
        <f t="shared" si="2"/>
        <v>9.1306963630572498E-3</v>
      </c>
      <c r="S10" s="518">
        <f t="shared" si="3"/>
        <v>1.0952057752822854E-2</v>
      </c>
      <c r="T10" s="495">
        <f t="shared" ref="T10:T20" si="15">1-S10/R10</f>
        <v>-0.19947672306077591</v>
      </c>
      <c r="U10" s="465">
        <v>22050</v>
      </c>
      <c r="V10" s="496">
        <f t="shared" si="5"/>
        <v>5837826.3128760569</v>
      </c>
      <c r="W10" s="458">
        <f t="shared" si="6"/>
        <v>7827750</v>
      </c>
      <c r="X10" s="495">
        <f t="shared" si="7"/>
        <v>-0.34086723045098433</v>
      </c>
      <c r="Y10" s="499">
        <f t="shared" si="8"/>
        <v>201.33185480541238</v>
      </c>
      <c r="Z10" s="491">
        <f t="shared" si="9"/>
        <v>241.49287344974394</v>
      </c>
      <c r="AA10" s="524">
        <f t="shared" si="10"/>
        <v>-40.161018644331563</v>
      </c>
    </row>
    <row r="11" spans="2:29" ht="22.7" customHeight="1" x14ac:dyDescent="0.25">
      <c r="B11" s="726"/>
      <c r="C11" s="506" t="s">
        <v>391</v>
      </c>
      <c r="D11" s="461" t="s">
        <v>386</v>
      </c>
      <c r="E11" s="513">
        <v>5.4182543146669175E-3</v>
      </c>
      <c r="F11" s="463">
        <v>157.10791339298004</v>
      </c>
      <c r="G11" s="463">
        <f>GRAFICAS!R44</f>
        <v>195</v>
      </c>
      <c r="H11" s="463">
        <f t="shared" ref="H11:P11" si="16">$E$11*H5</f>
        <v>157.10791339298004</v>
      </c>
      <c r="I11" s="463">
        <f t="shared" si="16"/>
        <v>170.25022161397342</v>
      </c>
      <c r="J11" s="463">
        <f t="shared" si="16"/>
        <v>185.57142042007976</v>
      </c>
      <c r="K11" s="463">
        <f t="shared" si="16"/>
        <v>219.48855976645856</v>
      </c>
      <c r="L11" s="463">
        <f t="shared" si="16"/>
        <v>218.27704086134338</v>
      </c>
      <c r="M11" s="463">
        <f t="shared" si="16"/>
        <v>235.59890112673628</v>
      </c>
      <c r="N11" s="463">
        <f t="shared" si="16"/>
        <v>221.3800444818273</v>
      </c>
      <c r="O11" s="463">
        <f t="shared" si="16"/>
        <v>144.58977791022696</v>
      </c>
      <c r="P11" s="464">
        <f t="shared" si="16"/>
        <v>72.726331308446831</v>
      </c>
      <c r="Q11" s="527">
        <f t="shared" si="1"/>
        <v>1977.0981242750527</v>
      </c>
      <c r="R11" s="530">
        <f t="shared" si="2"/>
        <v>5.4182543146669175E-3</v>
      </c>
      <c r="S11" s="518">
        <f t="shared" si="3"/>
        <v>6.0159190473252295E-3</v>
      </c>
      <c r="T11" s="495">
        <f t="shared" si="15"/>
        <v>-0.11030577340020131</v>
      </c>
      <c r="U11" s="465">
        <v>19050</v>
      </c>
      <c r="V11" s="496">
        <f t="shared" si="5"/>
        <v>2992905.7501362697</v>
      </c>
      <c r="W11" s="458">
        <f t="shared" si="6"/>
        <v>3714750</v>
      </c>
      <c r="X11" s="495">
        <f t="shared" si="7"/>
        <v>-0.24118509239085273</v>
      </c>
      <c r="Y11" s="499">
        <f t="shared" si="8"/>
        <v>103.21774469440479</v>
      </c>
      <c r="Z11" s="491">
        <f t="shared" si="9"/>
        <v>114.60325785154564</v>
      </c>
      <c r="AA11" s="524">
        <f t="shared" si="10"/>
        <v>-11.385513157140849</v>
      </c>
    </row>
    <row r="12" spans="2:29" ht="21.2" customHeight="1" x14ac:dyDescent="0.25">
      <c r="B12" s="726"/>
      <c r="C12" s="506" t="s">
        <v>392</v>
      </c>
      <c r="D12" s="461" t="s">
        <v>386</v>
      </c>
      <c r="E12" s="513">
        <v>0.54180085487226071</v>
      </c>
      <c r="F12" s="463">
        <v>15710.078715407517</v>
      </c>
      <c r="G12" s="463">
        <f>GRAFICAS!S20</f>
        <v>13024.75</v>
      </c>
      <c r="H12" s="463">
        <f t="shared" ref="H12:P12" si="17">$E$12*H5</f>
        <v>15710.078715407517</v>
      </c>
      <c r="I12" s="463">
        <f t="shared" si="17"/>
        <v>17024.249925469423</v>
      </c>
      <c r="J12" s="463">
        <f t="shared" si="17"/>
        <v>18556.30031083908</v>
      </c>
      <c r="K12" s="463">
        <f t="shared" si="17"/>
        <v>21947.860401133457</v>
      </c>
      <c r="L12" s="463">
        <f t="shared" si="17"/>
        <v>21826.714005935937</v>
      </c>
      <c r="M12" s="463">
        <f t="shared" si="17"/>
        <v>23558.821462458058</v>
      </c>
      <c r="N12" s="463">
        <f t="shared" si="17"/>
        <v>22137.000293107609</v>
      </c>
      <c r="O12" s="463">
        <f t="shared" si="17"/>
        <v>14458.321947992043</v>
      </c>
      <c r="P12" s="464">
        <f t="shared" si="17"/>
        <v>7272.3032523551883</v>
      </c>
      <c r="Q12" s="527">
        <f t="shared" si="1"/>
        <v>191226.47903010587</v>
      </c>
      <c r="R12" s="530">
        <f t="shared" si="2"/>
        <v>0.54180085487226071</v>
      </c>
      <c r="S12" s="518">
        <f t="shared" si="3"/>
        <v>0.40182482877768866</v>
      </c>
      <c r="T12" s="495">
        <f t="shared" si="15"/>
        <v>0.25835327655135187</v>
      </c>
      <c r="U12" s="465">
        <v>2818</v>
      </c>
      <c r="V12" s="496">
        <f t="shared" si="5"/>
        <v>44271001.820018381</v>
      </c>
      <c r="W12" s="458">
        <f t="shared" si="6"/>
        <v>36703745.5</v>
      </c>
      <c r="X12" s="495">
        <f t="shared" si="7"/>
        <v>0.170930315757992</v>
      </c>
      <c r="Y12" s="499">
        <f t="shared" si="8"/>
        <v>1526.7948090300306</v>
      </c>
      <c r="Z12" s="491">
        <f t="shared" si="9"/>
        <v>1132.3423674955266</v>
      </c>
      <c r="AA12" s="524">
        <f t="shared" si="10"/>
        <v>394.45244153450403</v>
      </c>
    </row>
    <row r="13" spans="2:29" ht="21.75" customHeight="1" x14ac:dyDescent="0.25">
      <c r="B13" s="726"/>
      <c r="C13" s="506" t="s">
        <v>393</v>
      </c>
      <c r="D13" s="461" t="s">
        <v>386</v>
      </c>
      <c r="E13" s="513">
        <v>0.23755146338873881</v>
      </c>
      <c r="F13" s="463">
        <v>6888.051495742302</v>
      </c>
      <c r="G13" s="463">
        <f>GRAFICAS!S13</f>
        <v>4800</v>
      </c>
      <c r="H13" s="463">
        <f t="shared" ref="H13:P13" si="18">$E$13*H5</f>
        <v>6888.051495742302</v>
      </c>
      <c r="I13" s="463">
        <f t="shared" si="18"/>
        <v>7464.2471426966767</v>
      </c>
      <c r="J13" s="463">
        <f t="shared" si="18"/>
        <v>8135.971463094158</v>
      </c>
      <c r="K13" s="463">
        <f t="shared" si="18"/>
        <v>9622.9939647663323</v>
      </c>
      <c r="L13" s="463">
        <f t="shared" si="18"/>
        <v>9569.8775785431571</v>
      </c>
      <c r="M13" s="463">
        <f t="shared" si="18"/>
        <v>10329.316507705398</v>
      </c>
      <c r="N13" s="463">
        <f t="shared" si="18"/>
        <v>9705.9219589169534</v>
      </c>
      <c r="O13" s="463">
        <f t="shared" si="18"/>
        <v>6339.2213319796219</v>
      </c>
      <c r="P13" s="464">
        <f t="shared" si="18"/>
        <v>3188.5263086396562</v>
      </c>
      <c r="Q13" s="527">
        <f t="shared" si="1"/>
        <v>82932.179247826571</v>
      </c>
      <c r="R13" s="530">
        <f t="shared" si="2"/>
        <v>0.23755146338873881</v>
      </c>
      <c r="S13" s="518">
        <f t="shared" si="3"/>
        <v>0.14808416116492873</v>
      </c>
      <c r="T13" s="495">
        <f t="shared" si="15"/>
        <v>0.37662282078810927</v>
      </c>
      <c r="U13" s="465">
        <v>6295</v>
      </c>
      <c r="V13" s="496">
        <f t="shared" si="5"/>
        <v>43360284.165697791</v>
      </c>
      <c r="W13" s="458">
        <f t="shared" si="6"/>
        <v>30216000</v>
      </c>
      <c r="X13" s="495">
        <f t="shared" si="7"/>
        <v>0.3031410983255548</v>
      </c>
      <c r="Y13" s="499">
        <f t="shared" si="8"/>
        <v>1495.3864620321108</v>
      </c>
      <c r="Z13" s="491">
        <f t="shared" si="9"/>
        <v>932.1897945332264</v>
      </c>
      <c r="AA13" s="524">
        <f t="shared" si="10"/>
        <v>563.19666749888438</v>
      </c>
    </row>
    <row r="14" spans="2:29" ht="9" customHeight="1" x14ac:dyDescent="0.25">
      <c r="B14" s="726"/>
      <c r="C14" s="506" t="s">
        <v>394</v>
      </c>
      <c r="D14" s="461" t="s">
        <v>386</v>
      </c>
      <c r="E14" s="513">
        <v>7.2995134582582331E-3</v>
      </c>
      <c r="F14" s="463">
        <v>211.65697688027882</v>
      </c>
      <c r="G14" s="463">
        <v>1000</v>
      </c>
      <c r="H14" s="463">
        <f t="shared" ref="H14:P14" si="19">$E$14*H5</f>
        <v>211.65697688027882</v>
      </c>
      <c r="I14" s="463">
        <f t="shared" si="19"/>
        <v>229.36239455918607</v>
      </c>
      <c r="J14" s="463">
        <f t="shared" si="19"/>
        <v>250.00323022079127</v>
      </c>
      <c r="K14" s="463">
        <f t="shared" si="19"/>
        <v>295.69665853668448</v>
      </c>
      <c r="L14" s="463">
        <f t="shared" si="19"/>
        <v>294.06449104523182</v>
      </c>
      <c r="M14" s="463">
        <f t="shared" si="19"/>
        <v>317.4006330544828</v>
      </c>
      <c r="N14" s="463">
        <f t="shared" si="19"/>
        <v>298.24488114383473</v>
      </c>
      <c r="O14" s="463">
        <f t="shared" si="19"/>
        <v>194.79244946573766</v>
      </c>
      <c r="P14" s="464">
        <f t="shared" si="19"/>
        <v>97.97746715556103</v>
      </c>
      <c r="Q14" s="527">
        <f t="shared" si="1"/>
        <v>3400.8561589420674</v>
      </c>
      <c r="R14" s="530">
        <f t="shared" si="2"/>
        <v>7.2995134582582331E-3</v>
      </c>
      <c r="S14" s="518">
        <f t="shared" si="3"/>
        <v>3.0850866909360154E-2</v>
      </c>
      <c r="T14" s="495">
        <f t="shared" si="15"/>
        <v>-3.2264278414963847</v>
      </c>
      <c r="U14" s="465">
        <v>1298</v>
      </c>
      <c r="V14" s="496">
        <f t="shared" si="5"/>
        <v>274730.7559906019</v>
      </c>
      <c r="W14" s="458">
        <f t="shared" si="6"/>
        <v>1298000</v>
      </c>
      <c r="X14" s="495">
        <f t="shared" si="7"/>
        <v>-3.7246257351848966</v>
      </c>
      <c r="Y14" s="499">
        <f t="shared" si="8"/>
        <v>9.4747684688191871</v>
      </c>
      <c r="Z14" s="491">
        <f t="shared" si="9"/>
        <v>40.044425248349476</v>
      </c>
      <c r="AA14" s="524">
        <f t="shared" si="10"/>
        <v>-30.569656779530291</v>
      </c>
    </row>
    <row r="15" spans="2:29" ht="10.5" customHeight="1" x14ac:dyDescent="0.25">
      <c r="B15" s="726"/>
      <c r="C15" s="506" t="s">
        <v>395</v>
      </c>
      <c r="D15" s="461" t="s">
        <v>386</v>
      </c>
      <c r="E15" s="513">
        <v>1.3272415682062296E-2</v>
      </c>
      <c r="F15" s="463">
        <v>384.84748267510201</v>
      </c>
      <c r="G15" s="463">
        <v>90</v>
      </c>
      <c r="H15" s="463">
        <f t="shared" ref="H15:P15" si="20">$E$15*H5</f>
        <v>384.84748267510201</v>
      </c>
      <c r="I15" s="463">
        <f t="shared" si="20"/>
        <v>417.04054110328178</v>
      </c>
      <c r="J15" s="463">
        <f t="shared" si="20"/>
        <v>454.57095357426977</v>
      </c>
      <c r="K15" s="463">
        <f t="shared" si="20"/>
        <v>537.65350120091125</v>
      </c>
      <c r="L15" s="463">
        <f t="shared" si="20"/>
        <v>534.68579581435563</v>
      </c>
      <c r="M15" s="463">
        <f t="shared" si="20"/>
        <v>577.11697686958178</v>
      </c>
      <c r="N15" s="463">
        <f t="shared" si="20"/>
        <v>542.28683325597638</v>
      </c>
      <c r="O15" s="463">
        <f t="shared" si="20"/>
        <v>354.18338164873921</v>
      </c>
      <c r="P15" s="464">
        <f t="shared" si="20"/>
        <v>178.14854085829785</v>
      </c>
      <c r="Q15" s="527">
        <f t="shared" si="1"/>
        <v>4455.3814896756176</v>
      </c>
      <c r="R15" s="530">
        <f t="shared" si="2"/>
        <v>1.3272415682062296E-2</v>
      </c>
      <c r="S15" s="518">
        <f t="shared" si="3"/>
        <v>2.7765780218424138E-3</v>
      </c>
      <c r="T15" s="495">
        <f t="shared" si="15"/>
        <v>0.79080085431659841</v>
      </c>
      <c r="U15" s="465">
        <v>1862</v>
      </c>
      <c r="V15" s="496">
        <f t="shared" si="5"/>
        <v>716586.01274103997</v>
      </c>
      <c r="W15" s="458">
        <f t="shared" si="6"/>
        <v>167580</v>
      </c>
      <c r="X15" s="495">
        <f t="shared" si="7"/>
        <v>0.76614112329797857</v>
      </c>
      <c r="Y15" s="499">
        <f t="shared" si="8"/>
        <v>24.713237999999997</v>
      </c>
      <c r="Z15" s="491">
        <f t="shared" si="9"/>
        <v>5.1699882766705745</v>
      </c>
      <c r="AA15" s="524">
        <f t="shared" si="10"/>
        <v>19.543249723329424</v>
      </c>
      <c r="AC15" t="s">
        <v>420</v>
      </c>
    </row>
    <row r="16" spans="2:29" ht="22.7" customHeight="1" x14ac:dyDescent="0.25">
      <c r="B16" s="726"/>
      <c r="C16" s="506" t="s">
        <v>396</v>
      </c>
      <c r="D16" s="461" t="s">
        <v>386</v>
      </c>
      <c r="E16" s="513">
        <v>1.376394153398273E-2</v>
      </c>
      <c r="F16" s="463">
        <v>399.09978544444397</v>
      </c>
      <c r="G16" s="463">
        <v>60</v>
      </c>
      <c r="H16" s="463">
        <f t="shared" ref="H16:P16" si="21">$E$16*H5</f>
        <v>399.09978544444397</v>
      </c>
      <c r="I16" s="463">
        <f t="shared" si="21"/>
        <v>432.48506997892486</v>
      </c>
      <c r="J16" s="463">
        <f t="shared" si="21"/>
        <v>471.40537019940962</v>
      </c>
      <c r="K16" s="463">
        <f t="shared" si="21"/>
        <v>557.56476690764646</v>
      </c>
      <c r="L16" s="463">
        <f t="shared" si="21"/>
        <v>554.48715659094705</v>
      </c>
      <c r="M16" s="463">
        <f t="shared" si="21"/>
        <v>598.48971869057095</v>
      </c>
      <c r="N16" s="463">
        <f t="shared" si="21"/>
        <v>562.36968810971769</v>
      </c>
      <c r="O16" s="463">
        <f t="shared" si="21"/>
        <v>367.30008116834813</v>
      </c>
      <c r="P16" s="464">
        <f t="shared" si="21"/>
        <v>184.74602962080706</v>
      </c>
      <c r="Q16" s="527">
        <f t="shared" si="1"/>
        <v>4587.0474521552596</v>
      </c>
      <c r="R16" s="530">
        <f t="shared" si="2"/>
        <v>1.376394153398273E-2</v>
      </c>
      <c r="S16" s="518">
        <f t="shared" si="3"/>
        <v>1.8510520145616092E-3</v>
      </c>
      <c r="T16" s="495">
        <f t="shared" si="15"/>
        <v>0.86551439426043619</v>
      </c>
      <c r="U16" s="465">
        <v>36239</v>
      </c>
      <c r="V16" s="496">
        <f t="shared" si="5"/>
        <v>14462977.124721205</v>
      </c>
      <c r="W16" s="458">
        <f t="shared" si="6"/>
        <v>2174340</v>
      </c>
      <c r="X16" s="495">
        <f t="shared" si="7"/>
        <v>0.84966165809088812</v>
      </c>
      <c r="Y16" s="499">
        <f t="shared" si="8"/>
        <v>498.79147725000018</v>
      </c>
      <c r="Z16" s="491">
        <f t="shared" si="9"/>
        <v>67.080273955698161</v>
      </c>
      <c r="AA16" s="524">
        <f t="shared" si="10"/>
        <v>431.71120329430204</v>
      </c>
    </row>
    <row r="17" spans="2:27" ht="23.25" customHeight="1" x14ac:dyDescent="0.25">
      <c r="B17" s="726"/>
      <c r="C17" s="506" t="s">
        <v>397</v>
      </c>
      <c r="D17" s="461" t="s">
        <v>386</v>
      </c>
      <c r="E17" s="513">
        <v>9.1964780547860883E-4</v>
      </c>
      <c r="F17" s="463">
        <v>26.666143629335984</v>
      </c>
      <c r="G17" s="463">
        <v>0</v>
      </c>
      <c r="H17" s="463">
        <f t="shared" ref="H17:P17" si="22">$E$17*H5</f>
        <v>26.666143629335984</v>
      </c>
      <c r="I17" s="463">
        <f t="shared" si="22"/>
        <v>28.896805796972362</v>
      </c>
      <c r="J17" s="463">
        <f t="shared" si="22"/>
        <v>31.497294079922835</v>
      </c>
      <c r="K17" s="463">
        <f t="shared" si="22"/>
        <v>37.254097093685935</v>
      </c>
      <c r="L17" s="463">
        <f t="shared" si="22"/>
        <v>37.048464312779174</v>
      </c>
      <c r="M17" s="463">
        <f t="shared" si="22"/>
        <v>39.988527634789371</v>
      </c>
      <c r="N17" s="463">
        <f t="shared" si="22"/>
        <v>37.575141412863879</v>
      </c>
      <c r="O17" s="463">
        <f t="shared" si="22"/>
        <v>24.541423164621971</v>
      </c>
      <c r="P17" s="464">
        <f t="shared" si="22"/>
        <v>12.343940890200708</v>
      </c>
      <c r="Q17" s="527">
        <f t="shared" si="1"/>
        <v>302.47798164450819</v>
      </c>
      <c r="R17" s="530">
        <f t="shared" si="2"/>
        <v>9.1964780547860883E-4</v>
      </c>
      <c r="S17" s="518">
        <f t="shared" si="3"/>
        <v>0</v>
      </c>
      <c r="T17" s="495">
        <f t="shared" si="15"/>
        <v>1</v>
      </c>
      <c r="U17" s="465">
        <v>32490</v>
      </c>
      <c r="V17" s="496">
        <f t="shared" si="5"/>
        <v>866383.00651712611</v>
      </c>
      <c r="W17" s="458">
        <f t="shared" si="6"/>
        <v>0</v>
      </c>
      <c r="X17" s="495">
        <f t="shared" si="7"/>
        <v>1</v>
      </c>
      <c r="Y17" s="499">
        <f t="shared" si="8"/>
        <v>29.879357200000001</v>
      </c>
      <c r="Z17" s="491">
        <f t="shared" si="9"/>
        <v>0</v>
      </c>
      <c r="AA17" s="524">
        <f t="shared" si="10"/>
        <v>29.879357200000001</v>
      </c>
    </row>
    <row r="18" spans="2:27" ht="23.25" customHeight="1" x14ac:dyDescent="0.25">
      <c r="B18" s="726"/>
      <c r="C18" s="507" t="s">
        <v>398</v>
      </c>
      <c r="D18" s="461" t="s">
        <v>386</v>
      </c>
      <c r="E18" s="513">
        <v>1.8171608455114823E-2</v>
      </c>
      <c r="F18" s="463">
        <v>526.90466736661961</v>
      </c>
      <c r="G18" s="463">
        <v>80</v>
      </c>
      <c r="H18" s="463">
        <f t="shared" ref="H18:P18" si="23">$E$18*H5</f>
        <v>526.90466736661961</v>
      </c>
      <c r="I18" s="463">
        <f t="shared" si="23"/>
        <v>570.98101840497236</v>
      </c>
      <c r="J18" s="463">
        <f t="shared" si="23"/>
        <v>622.36487925733104</v>
      </c>
      <c r="K18" s="463">
        <f t="shared" si="23"/>
        <v>736.11534948749272</v>
      </c>
      <c r="L18" s="463">
        <f t="shared" si="23"/>
        <v>732.0521870921566</v>
      </c>
      <c r="M18" s="463">
        <f t="shared" si="23"/>
        <v>790.14581728682595</v>
      </c>
      <c r="N18" s="463">
        <f t="shared" si="23"/>
        <v>742.45896454326328</v>
      </c>
      <c r="O18" s="463">
        <f t="shared" si="23"/>
        <v>484.92165155193038</v>
      </c>
      <c r="P18" s="464">
        <f t="shared" si="23"/>
        <v>243.90778656082625</v>
      </c>
      <c r="Q18" s="527">
        <f t="shared" si="1"/>
        <v>6056.7569889180377</v>
      </c>
      <c r="R18" s="530">
        <f t="shared" si="2"/>
        <v>1.8171608455114827E-2</v>
      </c>
      <c r="S18" s="518">
        <f t="shared" si="3"/>
        <v>2.4680693527488122E-3</v>
      </c>
      <c r="T18" s="495">
        <f t="shared" si="15"/>
        <v>0.86417991787325155</v>
      </c>
      <c r="U18" s="465">
        <v>19160</v>
      </c>
      <c r="V18" s="496">
        <f t="shared" si="5"/>
        <v>10095493.426744431</v>
      </c>
      <c r="W18" s="458">
        <f t="shared" si="6"/>
        <v>1532800</v>
      </c>
      <c r="X18" s="495">
        <f t="shared" si="7"/>
        <v>0.84816987786457376</v>
      </c>
      <c r="Y18" s="499">
        <f t="shared" si="8"/>
        <v>348.16801800000002</v>
      </c>
      <c r="Z18" s="491">
        <f t="shared" si="9"/>
        <v>47.288208798667242</v>
      </c>
      <c r="AA18" s="524">
        <f t="shared" si="10"/>
        <v>300.87980920133276</v>
      </c>
    </row>
    <row r="19" spans="2:27" ht="19.5" customHeight="1" x14ac:dyDescent="0.25">
      <c r="B19" s="726"/>
      <c r="C19" s="508" t="s">
        <v>399</v>
      </c>
      <c r="D19" s="461" t="s">
        <v>165</v>
      </c>
      <c r="E19" s="513">
        <v>8.7479087715189134E-4</v>
      </c>
      <c r="F19" s="463">
        <v>25.365470386377975</v>
      </c>
      <c r="G19" s="463">
        <v>0</v>
      </c>
      <c r="H19" s="463">
        <f t="shared" ref="H19:P19" si="24">$E$19*H5</f>
        <v>25.365470386377975</v>
      </c>
      <c r="I19" s="463">
        <f t="shared" si="24"/>
        <v>27.487329322626536</v>
      </c>
      <c r="J19" s="463">
        <f t="shared" si="24"/>
        <v>29.960975660402063</v>
      </c>
      <c r="K19" s="463">
        <f t="shared" si="24"/>
        <v>35.436983679993446</v>
      </c>
      <c r="L19" s="463">
        <f t="shared" si="24"/>
        <v>35.241380885413847</v>
      </c>
      <c r="M19" s="463">
        <f t="shared" si="24"/>
        <v>38.038039081107463</v>
      </c>
      <c r="N19" s="463">
        <f t="shared" si="24"/>
        <v>35.742368676190047</v>
      </c>
      <c r="O19" s="463">
        <f t="shared" si="24"/>
        <v>23.344385719011825</v>
      </c>
      <c r="P19" s="464">
        <f t="shared" si="24"/>
        <v>11.741850319786304</v>
      </c>
      <c r="Q19" s="527">
        <f t="shared" si="1"/>
        <v>287.72425411728744</v>
      </c>
      <c r="R19" s="530">
        <f t="shared" si="2"/>
        <v>8.7479087715189134E-4</v>
      </c>
      <c r="S19" s="518">
        <f t="shared" si="3"/>
        <v>0</v>
      </c>
      <c r="T19" s="495">
        <f t="shared" si="15"/>
        <v>1</v>
      </c>
      <c r="U19" s="465">
        <v>34156</v>
      </c>
      <c r="V19" s="496">
        <f t="shared" si="5"/>
        <v>866383.00651712611</v>
      </c>
      <c r="W19" s="458">
        <f t="shared" si="6"/>
        <v>0</v>
      </c>
      <c r="X19" s="495">
        <f t="shared" si="7"/>
        <v>1</v>
      </c>
      <c r="Y19" s="499">
        <f t="shared" si="8"/>
        <v>29.879357200000001</v>
      </c>
      <c r="Z19" s="491">
        <f t="shared" si="9"/>
        <v>0</v>
      </c>
      <c r="AA19" s="524">
        <f t="shared" si="10"/>
        <v>29.879357200000001</v>
      </c>
    </row>
    <row r="20" spans="2:27" ht="12.2" customHeight="1" thickBot="1" x14ac:dyDescent="0.3">
      <c r="B20" s="726"/>
      <c r="C20" s="509" t="s">
        <v>400</v>
      </c>
      <c r="D20" s="510" t="s">
        <v>165</v>
      </c>
      <c r="E20" s="516">
        <v>7.976659494838311E-4</v>
      </c>
      <c r="F20" s="472">
        <v>23.129152976227335</v>
      </c>
      <c r="G20" s="472">
        <v>0</v>
      </c>
      <c r="H20" s="472">
        <f t="shared" ref="H20:P20" si="25">$E$20*H5</f>
        <v>23.129152976227335</v>
      </c>
      <c r="I20" s="472">
        <f t="shared" si="25"/>
        <v>25.063940669217395</v>
      </c>
      <c r="J20" s="472">
        <f t="shared" si="25"/>
        <v>27.319500833645492</v>
      </c>
      <c r="K20" s="472">
        <f t="shared" si="25"/>
        <v>32.312722928678845</v>
      </c>
      <c r="L20" s="472">
        <f t="shared" si="25"/>
        <v>32.134365228644285</v>
      </c>
      <c r="M20" s="472">
        <f t="shared" si="25"/>
        <v>34.684459283480152</v>
      </c>
      <c r="N20" s="472">
        <f t="shared" si="25"/>
        <v>32.591184009277178</v>
      </c>
      <c r="O20" s="472">
        <f t="shared" si="25"/>
        <v>21.286254905055618</v>
      </c>
      <c r="P20" s="473">
        <f t="shared" si="25"/>
        <v>10.706643643247689</v>
      </c>
      <c r="Q20" s="528">
        <f t="shared" si="1"/>
        <v>262.35737745370136</v>
      </c>
      <c r="R20" s="532">
        <f t="shared" si="2"/>
        <v>7.9766594948383121E-4</v>
      </c>
      <c r="S20" s="520">
        <f t="shared" si="3"/>
        <v>0</v>
      </c>
      <c r="T20" s="495">
        <f t="shared" si="15"/>
        <v>1</v>
      </c>
      <c r="U20" s="474">
        <v>5200</v>
      </c>
      <c r="V20" s="497">
        <f t="shared" si="5"/>
        <v>120271.59547638214</v>
      </c>
      <c r="W20" s="498">
        <f t="shared" si="6"/>
        <v>0</v>
      </c>
      <c r="X20" s="495">
        <f t="shared" si="7"/>
        <v>1</v>
      </c>
      <c r="Y20" s="500">
        <f t="shared" si="8"/>
        <v>4.1478629373159217</v>
      </c>
      <c r="Z20" s="522">
        <f t="shared" si="9"/>
        <v>0</v>
      </c>
      <c r="AA20" s="525">
        <f t="shared" si="10"/>
        <v>4.1478629373159217</v>
      </c>
    </row>
    <row r="21" spans="2:27" ht="15.75" thickBot="1" x14ac:dyDescent="0.3">
      <c r="B21" s="707"/>
      <c r="C21" s="727" t="s">
        <v>401</v>
      </c>
      <c r="D21" s="728"/>
      <c r="E21" s="729"/>
      <c r="F21" s="475"/>
      <c r="G21" s="475"/>
      <c r="H21" s="475"/>
      <c r="I21" s="475"/>
      <c r="J21" s="475"/>
      <c r="K21" s="475"/>
      <c r="L21" s="475"/>
      <c r="M21" s="475"/>
      <c r="N21" s="476"/>
      <c r="O21" s="476"/>
      <c r="P21" s="476"/>
      <c r="Q21" s="475"/>
      <c r="R21" s="477"/>
      <c r="S21" s="477"/>
      <c r="T21" s="477"/>
      <c r="U21" s="477"/>
      <c r="V21" s="458">
        <f t="shared" si="5"/>
        <v>0</v>
      </c>
      <c r="W21" s="458">
        <f t="shared" si="6"/>
        <v>0</v>
      </c>
      <c r="X21" s="492"/>
      <c r="Y21" s="73"/>
      <c r="Z21" s="73"/>
    </row>
    <row r="22" spans="2:27" ht="30.2" customHeight="1" thickBot="1" x14ac:dyDescent="0.3">
      <c r="Q22" s="730" t="s">
        <v>176</v>
      </c>
      <c r="R22" s="731"/>
      <c r="S22" s="731"/>
      <c r="T22" s="731"/>
      <c r="U22" s="732"/>
      <c r="V22" s="458">
        <f t="shared" si="5"/>
        <v>0</v>
      </c>
      <c r="W22" s="458">
        <f t="shared" si="6"/>
        <v>0</v>
      </c>
      <c r="X22" s="492"/>
    </row>
    <row r="23" spans="2:27" ht="15.75" thickBot="1" x14ac:dyDescent="0.3">
      <c r="Q23" s="733" t="s">
        <v>402</v>
      </c>
      <c r="R23" s="734"/>
      <c r="S23" s="734"/>
      <c r="T23" s="734"/>
      <c r="U23" s="735"/>
      <c r="V23" s="458">
        <f t="shared" si="5"/>
        <v>0</v>
      </c>
      <c r="W23" s="458">
        <f t="shared" si="6"/>
        <v>0</v>
      </c>
      <c r="X23" s="492"/>
    </row>
    <row r="24" spans="2:27" ht="15.75" thickBot="1" x14ac:dyDescent="0.3"/>
    <row r="25" spans="2:27" ht="11.25" customHeight="1" thickBot="1" x14ac:dyDescent="0.3">
      <c r="B25" s="736" t="s">
        <v>403</v>
      </c>
      <c r="C25" s="737"/>
      <c r="D25" s="737"/>
      <c r="E25" s="738"/>
      <c r="F25" s="739"/>
      <c r="G25" s="739"/>
      <c r="H25" s="739"/>
      <c r="I25" s="739"/>
      <c r="J25" s="739"/>
      <c r="K25" s="739"/>
      <c r="L25" s="739"/>
      <c r="M25" s="739"/>
      <c r="N25" s="739"/>
      <c r="O25" s="739"/>
      <c r="P25" s="739"/>
      <c r="Q25" s="739"/>
      <c r="R25" s="739"/>
      <c r="S25" s="739"/>
      <c r="T25" s="739"/>
      <c r="U25" s="739"/>
      <c r="V25" s="740"/>
      <c r="W25" s="741"/>
      <c r="X25" s="559"/>
    </row>
    <row r="26" spans="2:27" ht="25.5" customHeight="1" thickBot="1" x14ac:dyDescent="0.3">
      <c r="B26" s="714" t="s">
        <v>365</v>
      </c>
      <c r="C26" s="717" t="s">
        <v>366</v>
      </c>
      <c r="D26" s="717" t="s">
        <v>367</v>
      </c>
      <c r="E26" s="443" t="s">
        <v>368</v>
      </c>
      <c r="F26" s="444" t="s">
        <v>369</v>
      </c>
      <c r="G26" s="444"/>
      <c r="H26" s="444" t="s">
        <v>370</v>
      </c>
      <c r="I26" s="444" t="s">
        <v>371</v>
      </c>
      <c r="J26" s="444" t="s">
        <v>372</v>
      </c>
      <c r="K26" s="445" t="s">
        <v>373</v>
      </c>
      <c r="L26" s="445" t="s">
        <v>374</v>
      </c>
      <c r="M26" s="445" t="s">
        <v>375</v>
      </c>
      <c r="N26" s="444" t="s">
        <v>376</v>
      </c>
      <c r="O26" s="444" t="s">
        <v>377</v>
      </c>
      <c r="P26" s="446" t="s">
        <v>378</v>
      </c>
      <c r="Q26" s="720" t="s">
        <v>379</v>
      </c>
      <c r="R26" s="447"/>
      <c r="S26" s="447"/>
      <c r="T26" s="447"/>
      <c r="U26" s="695" t="s">
        <v>380</v>
      </c>
      <c r="V26" s="722" t="s">
        <v>381</v>
      </c>
      <c r="W26" s="698" t="s">
        <v>382</v>
      </c>
      <c r="X26" s="558"/>
    </row>
    <row r="27" spans="2:27" ht="10.5" customHeight="1" thickBot="1" x14ac:dyDescent="0.3">
      <c r="B27" s="715"/>
      <c r="C27" s="718"/>
      <c r="D27" s="718"/>
      <c r="E27" s="701" t="s">
        <v>383</v>
      </c>
      <c r="F27" s="703"/>
      <c r="G27" s="703"/>
      <c r="H27" s="703"/>
      <c r="I27" s="703"/>
      <c r="J27" s="703"/>
      <c r="K27" s="703"/>
      <c r="L27" s="703"/>
      <c r="M27" s="703"/>
      <c r="N27" s="703"/>
      <c r="O27" s="703"/>
      <c r="P27" s="704"/>
      <c r="Q27" s="721"/>
      <c r="R27" s="486"/>
      <c r="S27" s="486"/>
      <c r="T27" s="486"/>
      <c r="U27" s="696"/>
      <c r="V27" s="723"/>
      <c r="W27" s="699"/>
      <c r="X27" s="558"/>
    </row>
    <row r="28" spans="2:27" ht="10.5" customHeight="1" thickBot="1" x14ac:dyDescent="0.3">
      <c r="B28" s="716"/>
      <c r="C28" s="719"/>
      <c r="D28" s="719"/>
      <c r="E28" s="702"/>
      <c r="F28" s="478">
        <f>'[1]PLAN MAESTRO BOGOTA RECIRCU'!J9</f>
        <v>5274.6748307809175</v>
      </c>
      <c r="G28" s="478"/>
      <c r="H28" s="478">
        <f>'[1]PLAN MAESTRO BOGOTA RECIRCU'!L9</f>
        <v>6028.2765070632277</v>
      </c>
      <c r="I28" s="478">
        <f>'[1]PLAN MAESTRO BOGOTA RECIRCU'!N9</f>
        <v>10800</v>
      </c>
      <c r="J28" s="478">
        <f>'[1]PLAN MAESTRO BOGOTA RECIRCU'!P9</f>
        <v>10800</v>
      </c>
      <c r="K28" s="478">
        <f>'[1]PLAN MAESTRO BOGOTA RECIRCU'!R9</f>
        <v>10800</v>
      </c>
      <c r="L28" s="478">
        <f>'[1]PLAN MAESTRO BOGOTA RECIRCU'!T9</f>
        <v>10800</v>
      </c>
      <c r="M28" s="478">
        <f>'[1]PLAN MAESTRO BOGOTA RECIRCU'!V9</f>
        <v>10800</v>
      </c>
      <c r="N28" s="478">
        <f>'[1]PLAN MAESTRO BOGOTA RECIRCU'!X9</f>
        <v>10800</v>
      </c>
      <c r="O28" s="478">
        <f>'[1]PLAN MAESTRO BOGOTA RECIRCU'!Z9</f>
        <v>10800</v>
      </c>
      <c r="P28" s="478">
        <f>'[1]PLAN MAESTRO BOGOTA RECIRCU'!AB9</f>
        <v>10800</v>
      </c>
      <c r="Q28" s="451">
        <f>SUM(F28:P28)</f>
        <v>97702.951337844148</v>
      </c>
      <c r="R28" s="487"/>
      <c r="S28" s="487"/>
      <c r="T28" s="487"/>
      <c r="U28" s="697"/>
      <c r="V28" s="724"/>
      <c r="W28" s="700"/>
      <c r="X28" s="558"/>
    </row>
    <row r="29" spans="2:27" ht="13.7" customHeight="1" x14ac:dyDescent="0.25">
      <c r="B29" s="705" t="s">
        <v>384</v>
      </c>
      <c r="C29" s="452" t="s">
        <v>385</v>
      </c>
      <c r="D29" s="453" t="s">
        <v>386</v>
      </c>
      <c r="E29" s="454">
        <v>0.06</v>
      </c>
      <c r="F29" s="455">
        <f>$E$29*F28</f>
        <v>316.48048984685505</v>
      </c>
      <c r="G29" s="455"/>
      <c r="H29" s="455">
        <f t="shared" ref="H29:P29" si="26">$E$29*H28</f>
        <v>361.69659042379362</v>
      </c>
      <c r="I29" s="455">
        <f t="shared" si="26"/>
        <v>648</v>
      </c>
      <c r="J29" s="455">
        <f t="shared" si="26"/>
        <v>648</v>
      </c>
      <c r="K29" s="455">
        <f t="shared" si="26"/>
        <v>648</v>
      </c>
      <c r="L29" s="455">
        <f t="shared" si="26"/>
        <v>648</v>
      </c>
      <c r="M29" s="455">
        <f t="shared" si="26"/>
        <v>648</v>
      </c>
      <c r="N29" s="455">
        <f t="shared" si="26"/>
        <v>648</v>
      </c>
      <c r="O29" s="455">
        <f t="shared" si="26"/>
        <v>648</v>
      </c>
      <c r="P29" s="456">
        <f t="shared" si="26"/>
        <v>648</v>
      </c>
      <c r="Q29" s="479">
        <f t="shared" ref="Q29:Q34" si="27">+SUM(F29:P29)</f>
        <v>5862.1770802706487</v>
      </c>
      <c r="R29" s="488"/>
      <c r="S29" s="488"/>
      <c r="T29" s="488"/>
      <c r="U29" s="457">
        <v>1650</v>
      </c>
      <c r="V29" s="458">
        <f t="shared" ref="V29:V34" si="28">Q29*U29</f>
        <v>9672592.1824465711</v>
      </c>
      <c r="W29" s="459">
        <f t="shared" ref="W29:W35" si="29">V29/$Q$28</f>
        <v>99</v>
      </c>
      <c r="X29" s="493"/>
    </row>
    <row r="30" spans="2:27" ht="9" customHeight="1" x14ac:dyDescent="0.25">
      <c r="B30" s="706"/>
      <c r="C30" s="460" t="s">
        <v>389</v>
      </c>
      <c r="D30" s="470" t="s">
        <v>386</v>
      </c>
      <c r="E30" s="471">
        <v>0.38</v>
      </c>
      <c r="F30" s="463">
        <f>$E$30*F28</f>
        <v>2004.3764356967488</v>
      </c>
      <c r="G30" s="463"/>
      <c r="H30" s="463">
        <f t="shared" ref="H30:P30" si="30">$E$30*H28</f>
        <v>2290.7450726840266</v>
      </c>
      <c r="I30" s="463">
        <f t="shared" si="30"/>
        <v>4104</v>
      </c>
      <c r="J30" s="463">
        <f t="shared" si="30"/>
        <v>4104</v>
      </c>
      <c r="K30" s="463">
        <f t="shared" si="30"/>
        <v>4104</v>
      </c>
      <c r="L30" s="463">
        <f t="shared" si="30"/>
        <v>4104</v>
      </c>
      <c r="M30" s="463">
        <f t="shared" si="30"/>
        <v>4104</v>
      </c>
      <c r="N30" s="463">
        <f t="shared" si="30"/>
        <v>4104</v>
      </c>
      <c r="O30" s="463">
        <f t="shared" si="30"/>
        <v>4104</v>
      </c>
      <c r="P30" s="464">
        <f t="shared" si="30"/>
        <v>4104</v>
      </c>
      <c r="Q30" s="480">
        <f t="shared" si="27"/>
        <v>37127.121508380777</v>
      </c>
      <c r="R30" s="489"/>
      <c r="S30" s="489"/>
      <c r="T30" s="489"/>
      <c r="U30" s="465">
        <v>830</v>
      </c>
      <c r="V30" s="466">
        <f t="shared" si="28"/>
        <v>30815510.851956043</v>
      </c>
      <c r="W30" s="459">
        <f t="shared" si="29"/>
        <v>315.39999999999998</v>
      </c>
      <c r="X30" s="493"/>
    </row>
    <row r="31" spans="2:27" ht="21.2" customHeight="1" x14ac:dyDescent="0.25">
      <c r="B31" s="706"/>
      <c r="C31" s="460" t="s">
        <v>392</v>
      </c>
      <c r="D31" s="461" t="s">
        <v>386</v>
      </c>
      <c r="E31" s="462">
        <v>0.54259999999999997</v>
      </c>
      <c r="F31" s="463">
        <f>$E$31*F28</f>
        <v>2862.0385631817257</v>
      </c>
      <c r="G31" s="463"/>
      <c r="H31" s="463">
        <f t="shared" ref="H31:P31" si="31">$E$31*H28</f>
        <v>3270.9428327325072</v>
      </c>
      <c r="I31" s="463">
        <f t="shared" si="31"/>
        <v>5860.08</v>
      </c>
      <c r="J31" s="463">
        <f t="shared" si="31"/>
        <v>5860.08</v>
      </c>
      <c r="K31" s="463">
        <f t="shared" si="31"/>
        <v>5860.08</v>
      </c>
      <c r="L31" s="463">
        <f t="shared" si="31"/>
        <v>5860.08</v>
      </c>
      <c r="M31" s="463">
        <f t="shared" si="31"/>
        <v>5860.08</v>
      </c>
      <c r="N31" s="463">
        <f t="shared" si="31"/>
        <v>5860.08</v>
      </c>
      <c r="O31" s="463">
        <f t="shared" si="31"/>
        <v>5860.08</v>
      </c>
      <c r="P31" s="464">
        <f t="shared" si="31"/>
        <v>5860.08</v>
      </c>
      <c r="Q31" s="480">
        <f t="shared" si="27"/>
        <v>53013.621395914241</v>
      </c>
      <c r="R31" s="489"/>
      <c r="S31" s="489"/>
      <c r="T31" s="489"/>
      <c r="U31" s="465">
        <v>2900</v>
      </c>
      <c r="V31" s="466">
        <f t="shared" si="28"/>
        <v>153739502.04815128</v>
      </c>
      <c r="W31" s="459">
        <f t="shared" si="29"/>
        <v>1573.54</v>
      </c>
      <c r="X31" s="493"/>
    </row>
    <row r="32" spans="2:27" ht="22.7" customHeight="1" x14ac:dyDescent="0.25">
      <c r="B32" s="706"/>
      <c r="C32" s="460" t="s">
        <v>391</v>
      </c>
      <c r="D32" s="461" t="s">
        <v>386</v>
      </c>
      <c r="E32" s="462">
        <v>5.4000000000000003E-3</v>
      </c>
      <c r="F32" s="463">
        <f>$E$32*F28</f>
        <v>28.483244086216956</v>
      </c>
      <c r="G32" s="463"/>
      <c r="H32" s="463">
        <f t="shared" ref="H32:P32" si="32">$E$32*H28</f>
        <v>32.552693138141429</v>
      </c>
      <c r="I32" s="463">
        <f t="shared" si="32"/>
        <v>58.32</v>
      </c>
      <c r="J32" s="463">
        <f t="shared" si="32"/>
        <v>58.32</v>
      </c>
      <c r="K32" s="463">
        <f t="shared" si="32"/>
        <v>58.32</v>
      </c>
      <c r="L32" s="463">
        <f t="shared" si="32"/>
        <v>58.32</v>
      </c>
      <c r="M32" s="463">
        <f t="shared" si="32"/>
        <v>58.32</v>
      </c>
      <c r="N32" s="463">
        <f t="shared" si="32"/>
        <v>58.32</v>
      </c>
      <c r="O32" s="463">
        <f t="shared" si="32"/>
        <v>58.32</v>
      </c>
      <c r="P32" s="464">
        <f t="shared" si="32"/>
        <v>58.32</v>
      </c>
      <c r="Q32" s="480">
        <f t="shared" si="27"/>
        <v>527.59593722435841</v>
      </c>
      <c r="R32" s="489"/>
      <c r="S32" s="489"/>
      <c r="T32" s="489"/>
      <c r="U32" s="465">
        <v>19050</v>
      </c>
      <c r="V32" s="466">
        <f t="shared" si="28"/>
        <v>10050702.604124028</v>
      </c>
      <c r="W32" s="459">
        <f t="shared" si="29"/>
        <v>102.87</v>
      </c>
      <c r="X32" s="493"/>
    </row>
    <row r="33" spans="2:26" ht="9" customHeight="1" x14ac:dyDescent="0.25">
      <c r="B33" s="706"/>
      <c r="C33" s="460" t="s">
        <v>394</v>
      </c>
      <c r="D33" s="461" t="s">
        <v>386</v>
      </c>
      <c r="E33" s="462">
        <v>0.125</v>
      </c>
      <c r="F33" s="463">
        <f>$E$33*F28</f>
        <v>659.33435384761469</v>
      </c>
      <c r="G33" s="463"/>
      <c r="H33" s="463">
        <f t="shared" ref="H33:P33" si="33">$E$33*H28</f>
        <v>753.53456338290346</v>
      </c>
      <c r="I33" s="463">
        <f t="shared" si="33"/>
        <v>1350</v>
      </c>
      <c r="J33" s="463">
        <f t="shared" si="33"/>
        <v>1350</v>
      </c>
      <c r="K33" s="463">
        <f t="shared" si="33"/>
        <v>1350</v>
      </c>
      <c r="L33" s="463">
        <f t="shared" si="33"/>
        <v>1350</v>
      </c>
      <c r="M33" s="463">
        <f t="shared" si="33"/>
        <v>1350</v>
      </c>
      <c r="N33" s="463">
        <f t="shared" si="33"/>
        <v>1350</v>
      </c>
      <c r="O33" s="463">
        <f t="shared" si="33"/>
        <v>1350</v>
      </c>
      <c r="P33" s="464">
        <f t="shared" si="33"/>
        <v>1350</v>
      </c>
      <c r="Q33" s="480">
        <f t="shared" si="27"/>
        <v>12212.868917230518</v>
      </c>
      <c r="R33" s="489"/>
      <c r="S33" s="489"/>
      <c r="T33" s="489"/>
      <c r="U33" s="465">
        <v>1298</v>
      </c>
      <c r="V33" s="466">
        <f t="shared" si="28"/>
        <v>15852303.854565213</v>
      </c>
      <c r="W33" s="459">
        <f t="shared" si="29"/>
        <v>162.25</v>
      </c>
      <c r="X33" s="493"/>
    </row>
    <row r="34" spans="2:26" ht="10.5" customHeight="1" thickBot="1" x14ac:dyDescent="0.3">
      <c r="B34" s="706"/>
      <c r="C34" s="460" t="s">
        <v>395</v>
      </c>
      <c r="D34" s="461" t="s">
        <v>386</v>
      </c>
      <c r="E34" s="462">
        <v>3.6999999999999998E-2</v>
      </c>
      <c r="F34" s="472">
        <f>$E$34*F28</f>
        <v>195.16296873889394</v>
      </c>
      <c r="G34" s="472"/>
      <c r="H34" s="472">
        <f t="shared" ref="H34:P34" si="34">$E$34*H28</f>
        <v>223.04623076133942</v>
      </c>
      <c r="I34" s="472">
        <f t="shared" si="34"/>
        <v>399.59999999999997</v>
      </c>
      <c r="J34" s="472">
        <f t="shared" si="34"/>
        <v>399.59999999999997</v>
      </c>
      <c r="K34" s="472">
        <f t="shared" si="34"/>
        <v>399.59999999999997</v>
      </c>
      <c r="L34" s="472">
        <f t="shared" si="34"/>
        <v>399.59999999999997</v>
      </c>
      <c r="M34" s="472">
        <f t="shared" si="34"/>
        <v>399.59999999999997</v>
      </c>
      <c r="N34" s="472">
        <f t="shared" si="34"/>
        <v>399.59999999999997</v>
      </c>
      <c r="O34" s="472">
        <f t="shared" si="34"/>
        <v>399.59999999999997</v>
      </c>
      <c r="P34" s="473">
        <f t="shared" si="34"/>
        <v>399.59999999999997</v>
      </c>
      <c r="Q34" s="481">
        <f t="shared" si="27"/>
        <v>3615.0091995002326</v>
      </c>
      <c r="R34" s="490"/>
      <c r="S34" s="490"/>
      <c r="T34" s="490"/>
      <c r="U34" s="482">
        <v>1862</v>
      </c>
      <c r="V34" s="466">
        <f t="shared" si="28"/>
        <v>6731147.1294694329</v>
      </c>
      <c r="W34" s="459">
        <f t="shared" si="29"/>
        <v>68.893999999999977</v>
      </c>
      <c r="X34" s="493"/>
    </row>
    <row r="35" spans="2:26" ht="15.75" thickBot="1" x14ac:dyDescent="0.3">
      <c r="B35" s="707"/>
      <c r="C35" s="708" t="s">
        <v>401</v>
      </c>
      <c r="D35" s="709"/>
      <c r="E35" s="710"/>
      <c r="F35" s="475"/>
      <c r="G35" s="475"/>
      <c r="H35" s="475"/>
      <c r="I35" s="475"/>
      <c r="J35" s="475"/>
      <c r="K35" s="475"/>
      <c r="L35" s="475"/>
      <c r="M35" s="475"/>
      <c r="N35" s="476"/>
      <c r="O35" s="476"/>
      <c r="P35" s="483"/>
      <c r="Q35" s="711" t="s">
        <v>404</v>
      </c>
      <c r="R35" s="712"/>
      <c r="S35" s="712"/>
      <c r="T35" s="712"/>
      <c r="U35" s="713"/>
      <c r="V35" s="484">
        <f>SUM(V29:V34)</f>
        <v>226861758.67071256</v>
      </c>
      <c r="W35" s="485">
        <f t="shared" si="29"/>
        <v>2321.9539999999997</v>
      </c>
      <c r="X35" s="557"/>
      <c r="Y35" s="73"/>
      <c r="Z35" s="73"/>
    </row>
  </sheetData>
  <mergeCells count="36">
    <mergeCell ref="B2:E2"/>
    <mergeCell ref="B3:B5"/>
    <mergeCell ref="C3:C5"/>
    <mergeCell ref="D3:D5"/>
    <mergeCell ref="Q3:Q4"/>
    <mergeCell ref="E4:E5"/>
    <mergeCell ref="B6:B21"/>
    <mergeCell ref="C21:E21"/>
    <mergeCell ref="Q22:U22"/>
    <mergeCell ref="Q23:U23"/>
    <mergeCell ref="B25:E25"/>
    <mergeCell ref="F25:W25"/>
    <mergeCell ref="W26:W28"/>
    <mergeCell ref="E27:E28"/>
    <mergeCell ref="F27:P27"/>
    <mergeCell ref="B29:B35"/>
    <mergeCell ref="C35:E35"/>
    <mergeCell ref="Q35:U35"/>
    <mergeCell ref="B26:B28"/>
    <mergeCell ref="C26:C28"/>
    <mergeCell ref="D26:D28"/>
    <mergeCell ref="Q26:Q27"/>
    <mergeCell ref="U26:U28"/>
    <mergeCell ref="V26:V28"/>
    <mergeCell ref="Y3:Y5"/>
    <mergeCell ref="AA3:AA5"/>
    <mergeCell ref="F2:AA2"/>
    <mergeCell ref="X3:X5"/>
    <mergeCell ref="T3:T5"/>
    <mergeCell ref="Z3:Z5"/>
    <mergeCell ref="S3:S5"/>
    <mergeCell ref="V3:V5"/>
    <mergeCell ref="W3:W5"/>
    <mergeCell ref="F4:P4"/>
    <mergeCell ref="R3:R5"/>
    <mergeCell ref="U3:U5"/>
  </mergeCells>
  <conditionalFormatting sqref="T6:T20">
    <cfRule type="cellIs" dxfId="19" priority="3" operator="lessThan">
      <formula>0</formula>
    </cfRule>
    <cfRule type="cellIs" dxfId="18" priority="6" operator="greaterThan">
      <formula>1</formula>
    </cfRule>
  </conditionalFormatting>
  <conditionalFormatting sqref="X6:X20">
    <cfRule type="cellIs" dxfId="17" priority="1" operator="lessThan">
      <formula>0</formula>
    </cfRule>
    <cfRule type="cellIs" dxfId="16" priority="2" operator="greaterThan">
      <formula>1</formula>
    </cfRule>
  </conditionalFormatting>
  <conditionalFormatting sqref="AA3:AA20">
    <cfRule type="cellIs" dxfId="15" priority="4" operator="lessThan">
      <formula>0</formula>
    </cfRule>
  </conditionalFormatting>
  <pageMargins left="0.7" right="0.7" top="0.75" bottom="0.75" header="0.3" footer="0.3"/>
  <ignoredErrors>
    <ignoredError sqref="G9:G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 codeName="Hoja2">
    <tabColor rgb="FFFFFF00"/>
  </sheetPr>
  <dimension ref="A1:AU107"/>
  <sheetViews>
    <sheetView zoomScale="85" zoomScaleNormal="85" workbookViewId="0">
      <pane xSplit="5" ySplit="1" topLeftCell="I75" activePane="bottomRight" state="frozen"/>
      <selection pane="topRight" activeCell="F1" sqref="F1"/>
      <selection pane="bottomLeft" activeCell="A2" sqref="A2"/>
      <selection pane="bottomRight" activeCell="O92" sqref="O92"/>
    </sheetView>
  </sheetViews>
  <sheetFormatPr baseColWidth="10" defaultRowHeight="15" x14ac:dyDescent="0.25"/>
  <cols>
    <col min="1" max="1" width="14.85546875" customWidth="1"/>
    <col min="2" max="2" width="11.42578125" customWidth="1"/>
    <col min="3" max="3" width="12.28515625" customWidth="1"/>
    <col min="4" max="4" width="12.28515625" style="70" customWidth="1"/>
    <col min="5" max="5" width="17.140625" style="70" customWidth="1"/>
    <col min="6" max="10" width="16.42578125" style="189" customWidth="1"/>
    <col min="11" max="11" width="19.42578125" style="69" customWidth="1"/>
    <col min="12" max="13" width="17.42578125" style="1" customWidth="1"/>
    <col min="14" max="17" width="19.42578125" customWidth="1"/>
    <col min="18" max="18" width="16.42578125" customWidth="1"/>
    <col min="19" max="21" width="14.140625" customWidth="1"/>
    <col min="22" max="22" width="11.28515625" customWidth="1"/>
    <col min="23" max="23" width="13" customWidth="1"/>
    <col min="24" max="28" width="14.140625" customWidth="1"/>
    <col min="29" max="29" width="21" style="71" hidden="1" customWidth="1"/>
    <col min="30" max="30" width="17.85546875" style="71" hidden="1" customWidth="1"/>
    <col min="31" max="31" width="18.5703125" style="71" hidden="1" customWidth="1"/>
    <col min="32" max="32" width="14.85546875" style="71" hidden="1" customWidth="1"/>
    <col min="33" max="33" width="15.5703125" style="71" hidden="1" customWidth="1"/>
    <col min="34" max="34" width="22.7109375" style="71" hidden="1" customWidth="1"/>
    <col min="35" max="35" width="17.85546875" style="71" hidden="1" customWidth="1"/>
    <col min="36" max="36" width="18.5703125" style="71" hidden="1" customWidth="1"/>
    <col min="37" max="38" width="16.42578125" style="71" hidden="1" customWidth="1"/>
    <col min="39" max="39" width="16.42578125" style="253" customWidth="1"/>
    <col min="40" max="45" width="19.42578125" customWidth="1"/>
    <col min="46" max="46" width="14.5703125" style="73" customWidth="1"/>
    <col min="47" max="47" width="17.42578125" style="1" customWidth="1"/>
  </cols>
  <sheetData>
    <row r="1" spans="1:47" s="84" customFormat="1" ht="51.6" customHeight="1" thickBot="1" x14ac:dyDescent="0.3">
      <c r="A1" s="75" t="s">
        <v>27</v>
      </c>
      <c r="B1" s="75" t="s">
        <v>79</v>
      </c>
      <c r="C1" s="87" t="s">
        <v>160</v>
      </c>
      <c r="D1" s="76" t="s">
        <v>120</v>
      </c>
      <c r="E1" s="87" t="s">
        <v>161</v>
      </c>
      <c r="F1" s="195" t="s">
        <v>187</v>
      </c>
      <c r="G1" s="196" t="s">
        <v>188</v>
      </c>
      <c r="H1" s="197" t="s">
        <v>189</v>
      </c>
      <c r="I1" s="196" t="s">
        <v>190</v>
      </c>
      <c r="J1" s="196" t="s">
        <v>191</v>
      </c>
      <c r="K1" s="218" t="s">
        <v>162</v>
      </c>
      <c r="L1" s="217" t="s">
        <v>15</v>
      </c>
      <c r="M1" s="217" t="s">
        <v>220</v>
      </c>
      <c r="N1" s="186" t="s">
        <v>41</v>
      </c>
      <c r="O1" s="186" t="s">
        <v>42</v>
      </c>
      <c r="P1" s="186" t="s">
        <v>43</v>
      </c>
      <c r="Q1" s="186" t="s">
        <v>44</v>
      </c>
      <c r="R1" s="186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185" t="s">
        <v>56</v>
      </c>
      <c r="X1" s="276" t="s">
        <v>51</v>
      </c>
      <c r="Y1" s="79" t="s">
        <v>52</v>
      </c>
      <c r="Z1" s="79" t="s">
        <v>58</v>
      </c>
      <c r="AA1" s="79" t="s">
        <v>59</v>
      </c>
      <c r="AB1" s="277" t="s">
        <v>60</v>
      </c>
      <c r="AC1" s="80" t="s">
        <v>50</v>
      </c>
      <c r="AD1" s="81" t="s">
        <v>46</v>
      </c>
      <c r="AE1" s="81" t="s">
        <v>47</v>
      </c>
      <c r="AF1" s="81" t="s">
        <v>48</v>
      </c>
      <c r="AG1" s="81" t="s">
        <v>49</v>
      </c>
      <c r="AH1" s="80" t="s">
        <v>61</v>
      </c>
      <c r="AI1" s="81" t="s">
        <v>62</v>
      </c>
      <c r="AJ1" s="81" t="s">
        <v>63</v>
      </c>
      <c r="AK1" s="81" t="s">
        <v>64</v>
      </c>
      <c r="AL1" s="81" t="s">
        <v>65</v>
      </c>
      <c r="AM1" s="278" t="s">
        <v>66</v>
      </c>
      <c r="AN1" s="279" t="s">
        <v>67</v>
      </c>
      <c r="AO1" s="279" t="s">
        <v>68</v>
      </c>
      <c r="AP1" s="279" t="s">
        <v>69</v>
      </c>
      <c r="AQ1" s="280" t="s">
        <v>70</v>
      </c>
      <c r="AR1" s="82" t="s">
        <v>73</v>
      </c>
      <c r="AS1" s="82" t="s">
        <v>74</v>
      </c>
      <c r="AT1" s="83" t="s">
        <v>71</v>
      </c>
      <c r="AU1" s="217" t="s">
        <v>359</v>
      </c>
    </row>
    <row r="2" spans="1:47" thickBot="1" x14ac:dyDescent="0.3">
      <c r="A2" s="116">
        <v>46113</v>
      </c>
      <c r="B2" s="96">
        <v>1</v>
      </c>
      <c r="C2" s="211" t="s">
        <v>28</v>
      </c>
      <c r="D2" s="212">
        <v>1</v>
      </c>
      <c r="E2" s="212" t="s">
        <v>75</v>
      </c>
      <c r="F2" s="304">
        <v>2780</v>
      </c>
      <c r="G2" s="305">
        <v>5720</v>
      </c>
      <c r="H2" s="305">
        <v>4280</v>
      </c>
      <c r="I2" s="305">
        <v>275</v>
      </c>
      <c r="J2" s="305">
        <v>450</v>
      </c>
      <c r="K2" s="324">
        <v>17622</v>
      </c>
      <c r="L2" s="220">
        <f t="shared" ref="L2:L33" si="0">(K3-K2)*M2</f>
        <v>0</v>
      </c>
      <c r="M2" s="220">
        <v>80</v>
      </c>
      <c r="N2" s="298">
        <f t="shared" ref="N2:P17" si="1">F2-F3</f>
        <v>0</v>
      </c>
      <c r="O2" s="327">
        <f t="shared" si="1"/>
        <v>0</v>
      </c>
      <c r="P2" s="298">
        <f t="shared" si="1"/>
        <v>0</v>
      </c>
      <c r="Q2" s="298">
        <f t="shared" ref="Q2:R33" si="2">I2-I3</f>
        <v>0</v>
      </c>
      <c r="R2" s="298">
        <f t="shared" si="2"/>
        <v>0</v>
      </c>
      <c r="S2" s="306">
        <f>(N2*$AC$2)</f>
        <v>0</v>
      </c>
      <c r="T2" s="307">
        <f>(O2*$AD$2)</f>
        <v>0</v>
      </c>
      <c r="U2" s="307">
        <f>(P2*$AE$2)</f>
        <v>0</v>
      </c>
      <c r="V2" s="307">
        <f>Tabla1[[#This Row],[CONSUMO POL ANIONICO (KG)]]</f>
        <v>0</v>
      </c>
      <c r="W2" s="299">
        <f>Tabla1[[#This Row],[CONSUMO POL CATIONICO (KG)]]</f>
        <v>0</v>
      </c>
      <c r="X2" s="306" t="e">
        <f>(S2*1000)/L2</f>
        <v>#DIV/0!</v>
      </c>
      <c r="Y2" s="307" t="e">
        <f>(T2*1000)/L2</f>
        <v>#DIV/0!</v>
      </c>
      <c r="Z2" s="307" t="e">
        <f>(U2*1000)/L2</f>
        <v>#DIV/0!</v>
      </c>
      <c r="AA2" s="307" t="e">
        <f>(V2*1000)/L2</f>
        <v>#DIV/0!</v>
      </c>
      <c r="AB2" s="299" t="e">
        <f>(W2*1000)/L2</f>
        <v>#DIV/0!</v>
      </c>
      <c r="AC2" s="308">
        <v>1.3</v>
      </c>
      <c r="AD2" s="308">
        <v>1.325</v>
      </c>
      <c r="AE2" s="308">
        <v>1.25</v>
      </c>
      <c r="AF2" s="309">
        <v>2500</v>
      </c>
      <c r="AG2" s="310">
        <v>2500</v>
      </c>
      <c r="AH2" s="97">
        <v>830</v>
      </c>
      <c r="AI2" s="97">
        <v>2818</v>
      </c>
      <c r="AJ2" s="97">
        <v>6295</v>
      </c>
      <c r="AK2" s="97">
        <v>19050</v>
      </c>
      <c r="AL2" s="97">
        <v>22050</v>
      </c>
      <c r="AM2" s="311">
        <f t="shared" ref="AM2:AQ17" si="3">S2*AH2</f>
        <v>0</v>
      </c>
      <c r="AN2" s="312">
        <f t="shared" si="3"/>
        <v>0</v>
      </c>
      <c r="AO2" s="312">
        <f t="shared" si="3"/>
        <v>0</v>
      </c>
      <c r="AP2" s="312">
        <f t="shared" si="3"/>
        <v>0</v>
      </c>
      <c r="AQ2" s="313">
        <f t="shared" si="3"/>
        <v>0</v>
      </c>
      <c r="AR2" s="311">
        <f>SUM(Tabla1[[#This Row],[COSTO OPERATIVO ACIDO]:[COSTO OPERATIVO CATIONICO]])</f>
        <v>0</v>
      </c>
      <c r="AS2" s="311">
        <v>3599</v>
      </c>
      <c r="AT2" s="314" t="e">
        <f t="shared" ref="AT2:AT33" si="4">AR2/L2</f>
        <v>#DIV/0!</v>
      </c>
      <c r="AU2" s="220">
        <f>IFERROR(Tabla1[[#This Row],[CAUDAL TOTAL TRATADO GEM ]]/Tabla1[[#This Row],[CAUDAL DE TRATAMIENTO]],0)</f>
        <v>0</v>
      </c>
    </row>
    <row r="3" spans="1:47" ht="15.75" thickBot="1" x14ac:dyDescent="0.3">
      <c r="A3" s="431">
        <f>A2</f>
        <v>46113</v>
      </c>
      <c r="B3" s="96">
        <v>1</v>
      </c>
      <c r="C3" s="213" t="s">
        <v>29</v>
      </c>
      <c r="D3" s="214">
        <v>2</v>
      </c>
      <c r="E3" s="214" t="s">
        <v>77</v>
      </c>
      <c r="F3" s="315">
        <v>2780</v>
      </c>
      <c r="G3" s="316">
        <v>5720</v>
      </c>
      <c r="H3" s="316">
        <v>4280</v>
      </c>
      <c r="I3" s="316">
        <f t="shared" ref="I3:J5" si="5">+I2-0</f>
        <v>275</v>
      </c>
      <c r="J3" s="316">
        <f t="shared" si="5"/>
        <v>450</v>
      </c>
      <c r="K3" s="325">
        <v>17622</v>
      </c>
      <c r="L3" s="219">
        <f t="shared" si="0"/>
        <v>0</v>
      </c>
      <c r="M3" s="219">
        <v>80</v>
      </c>
      <c r="N3" s="300">
        <f t="shared" si="1"/>
        <v>0</v>
      </c>
      <c r="O3" s="328">
        <f t="shared" si="1"/>
        <v>0</v>
      </c>
      <c r="P3" s="300">
        <f t="shared" si="1"/>
        <v>0</v>
      </c>
      <c r="Q3" s="300">
        <f t="shared" si="2"/>
        <v>0</v>
      </c>
      <c r="R3" s="298">
        <f t="shared" si="2"/>
        <v>0</v>
      </c>
      <c r="S3" s="306">
        <f>(N3*$AC$2)</f>
        <v>0</v>
      </c>
      <c r="T3" s="307">
        <f>(O3*$AD$2)</f>
        <v>0</v>
      </c>
      <c r="U3" s="307">
        <f>(P3*$AE$2)</f>
        <v>0</v>
      </c>
      <c r="V3" s="317">
        <f>Tabla1[[#This Row],[CONSUMO POL ANIONICO (KG)]]</f>
        <v>0</v>
      </c>
      <c r="W3" s="301">
        <f>Tabla1[[#This Row],[CONSUMO POL CATIONICO (KG)]]</f>
        <v>0</v>
      </c>
      <c r="X3" s="318" t="e">
        <f>(S3*1000)/L3</f>
        <v>#DIV/0!</v>
      </c>
      <c r="Y3" s="317" t="e">
        <f>(T3*1000)/L3</f>
        <v>#DIV/0!</v>
      </c>
      <c r="Z3" s="317" t="e">
        <f>(U3*1000)/L3</f>
        <v>#DIV/0!</v>
      </c>
      <c r="AA3" s="317" t="e">
        <f>(V3*1000)/L3</f>
        <v>#DIV/0!</v>
      </c>
      <c r="AB3" s="301" t="e">
        <f>(W3*1000)/L3</f>
        <v>#DIV/0!</v>
      </c>
      <c r="AC3" s="308">
        <v>1.3</v>
      </c>
      <c r="AD3" s="308">
        <v>1.325</v>
      </c>
      <c r="AE3" s="308">
        <v>1.25</v>
      </c>
      <c r="AF3" s="309">
        <v>2500</v>
      </c>
      <c r="AG3" s="310">
        <v>2500</v>
      </c>
      <c r="AH3" s="97">
        <v>830</v>
      </c>
      <c r="AI3" s="97">
        <v>2818</v>
      </c>
      <c r="AJ3" s="97">
        <v>6295</v>
      </c>
      <c r="AK3" s="97">
        <v>19050</v>
      </c>
      <c r="AL3" s="97">
        <v>22050</v>
      </c>
      <c r="AM3" s="319">
        <f t="shared" si="3"/>
        <v>0</v>
      </c>
      <c r="AN3" s="314">
        <f t="shared" si="3"/>
        <v>0</v>
      </c>
      <c r="AO3" s="314">
        <f t="shared" si="3"/>
        <v>0</v>
      </c>
      <c r="AP3" s="314">
        <f t="shared" si="3"/>
        <v>0</v>
      </c>
      <c r="AQ3" s="320">
        <f t="shared" si="3"/>
        <v>0</v>
      </c>
      <c r="AR3" s="311">
        <f>SUM(Tabla1[[#This Row],[COSTO OPERATIVO ACIDO]:[COSTO OPERATIVO CATIONICO]])</f>
        <v>0</v>
      </c>
      <c r="AS3" s="319">
        <v>3599</v>
      </c>
      <c r="AT3" s="314" t="e">
        <f t="shared" si="4"/>
        <v>#DIV/0!</v>
      </c>
      <c r="AU3" s="219">
        <f>IFERROR(Tabla1[[#This Row],[CAUDAL TOTAL TRATADO GEM ]]/Tabla1[[#This Row],[CAUDAL DE TRATAMIENTO]],0)</f>
        <v>0</v>
      </c>
    </row>
    <row r="4" spans="1:47" thickBot="1" x14ac:dyDescent="0.3">
      <c r="A4" s="432">
        <f>+A3</f>
        <v>46113</v>
      </c>
      <c r="B4" s="96">
        <v>1</v>
      </c>
      <c r="C4" s="215" t="s">
        <v>30</v>
      </c>
      <c r="D4" s="216">
        <v>3</v>
      </c>
      <c r="E4" s="216" t="s">
        <v>76</v>
      </c>
      <c r="F4" s="315">
        <v>2780</v>
      </c>
      <c r="G4" s="316">
        <v>5720</v>
      </c>
      <c r="H4" s="316">
        <v>4280</v>
      </c>
      <c r="I4" s="316">
        <f t="shared" si="5"/>
        <v>275</v>
      </c>
      <c r="J4" s="316">
        <f t="shared" si="5"/>
        <v>450</v>
      </c>
      <c r="K4" s="326">
        <v>17622</v>
      </c>
      <c r="L4" s="221">
        <f t="shared" si="0"/>
        <v>0</v>
      </c>
      <c r="M4" s="221">
        <v>80</v>
      </c>
      <c r="N4" s="302">
        <f t="shared" si="1"/>
        <v>0</v>
      </c>
      <c r="O4" s="329">
        <f>G4-G5</f>
        <v>0</v>
      </c>
      <c r="P4" s="302">
        <f t="shared" si="1"/>
        <v>0</v>
      </c>
      <c r="Q4" s="302">
        <f t="shared" si="2"/>
        <v>0</v>
      </c>
      <c r="R4" s="298">
        <f t="shared" si="2"/>
        <v>0</v>
      </c>
      <c r="S4" s="306">
        <f>(N4*$AC$2)</f>
        <v>0</v>
      </c>
      <c r="T4" s="307">
        <f>(O4*$AD$2)</f>
        <v>0</v>
      </c>
      <c r="U4" s="307">
        <f>(P4*$AE$2)</f>
        <v>0</v>
      </c>
      <c r="V4" s="321">
        <f>Tabla1[[#This Row],[CONSUMO POL ANIONICO (KG)]]</f>
        <v>0</v>
      </c>
      <c r="W4" s="303">
        <f>Tabla1[[#This Row],[CONSUMO POL CATIONICO (KG)]]</f>
        <v>0</v>
      </c>
      <c r="X4" s="318" t="e">
        <f>(S4*1000)/L4</f>
        <v>#DIV/0!</v>
      </c>
      <c r="Y4" s="321" t="e">
        <f>(T4*1000)/L4</f>
        <v>#DIV/0!</v>
      </c>
      <c r="Z4" s="321" t="e">
        <f>(U4*1000)/L4</f>
        <v>#DIV/0!</v>
      </c>
      <c r="AA4" s="321" t="e">
        <f>(V4*1000)/L4</f>
        <v>#DIV/0!</v>
      </c>
      <c r="AB4" s="303" t="e">
        <f>(W4*1000)/L4</f>
        <v>#DIV/0!</v>
      </c>
      <c r="AC4" s="308">
        <v>1.3</v>
      </c>
      <c r="AD4" s="308">
        <v>1.325</v>
      </c>
      <c r="AE4" s="308">
        <v>1.25</v>
      </c>
      <c r="AF4" s="309">
        <v>2500</v>
      </c>
      <c r="AG4" s="310">
        <v>2500</v>
      </c>
      <c r="AH4" s="97">
        <v>830</v>
      </c>
      <c r="AI4" s="97">
        <v>2818</v>
      </c>
      <c r="AJ4" s="97">
        <v>6295</v>
      </c>
      <c r="AK4" s="97">
        <v>19050</v>
      </c>
      <c r="AL4" s="97">
        <v>22050</v>
      </c>
      <c r="AM4" s="319">
        <f t="shared" si="3"/>
        <v>0</v>
      </c>
      <c r="AN4" s="322">
        <f t="shared" si="3"/>
        <v>0</v>
      </c>
      <c r="AO4" s="322">
        <f t="shared" si="3"/>
        <v>0</v>
      </c>
      <c r="AP4" s="322">
        <f t="shared" si="3"/>
        <v>0</v>
      </c>
      <c r="AQ4" s="323">
        <f t="shared" si="3"/>
        <v>0</v>
      </c>
      <c r="AR4" s="311">
        <f>SUM(Tabla1[[#This Row],[COSTO OPERATIVO ACIDO]:[COSTO OPERATIVO CATIONICO]])</f>
        <v>0</v>
      </c>
      <c r="AS4" s="319">
        <v>3599</v>
      </c>
      <c r="AT4" s="314" t="e">
        <f t="shared" si="4"/>
        <v>#DIV/0!</v>
      </c>
      <c r="AU4" s="221">
        <f>IFERROR(Tabla1[[#This Row],[CAUDAL TOTAL TRATADO GEM ]]/Tabla1[[#This Row],[CAUDAL DE TRATAMIENTO]],0)</f>
        <v>0</v>
      </c>
    </row>
    <row r="5" spans="1:47" thickBot="1" x14ac:dyDescent="0.3">
      <c r="A5" s="116">
        <f>+A4+1</f>
        <v>46114</v>
      </c>
      <c r="B5" s="96">
        <v>2</v>
      </c>
      <c r="C5" s="211" t="s">
        <v>255</v>
      </c>
      <c r="D5" s="212">
        <v>4</v>
      </c>
      <c r="E5" s="212" t="s">
        <v>75</v>
      </c>
      <c r="F5" s="304">
        <v>2780</v>
      </c>
      <c r="G5" s="305">
        <v>5720</v>
      </c>
      <c r="H5" s="305">
        <v>4280</v>
      </c>
      <c r="I5" s="305">
        <f t="shared" si="5"/>
        <v>275</v>
      </c>
      <c r="J5" s="305">
        <f t="shared" si="5"/>
        <v>450</v>
      </c>
      <c r="K5" s="324">
        <v>17622</v>
      </c>
      <c r="L5" s="220">
        <f t="shared" si="0"/>
        <v>480</v>
      </c>
      <c r="M5" s="220">
        <v>80</v>
      </c>
      <c r="N5" s="298">
        <f t="shared" si="1"/>
        <v>80</v>
      </c>
      <c r="O5" s="327">
        <f t="shared" si="1"/>
        <v>20</v>
      </c>
      <c r="P5" s="298">
        <f t="shared" si="1"/>
        <v>80</v>
      </c>
      <c r="Q5" s="298">
        <f t="shared" si="2"/>
        <v>5</v>
      </c>
      <c r="R5" s="298">
        <f t="shared" si="2"/>
        <v>5</v>
      </c>
      <c r="S5" s="306">
        <f t="shared" ref="S5:S68" si="6">(N5*$AC$2)</f>
        <v>104</v>
      </c>
      <c r="T5" s="307">
        <f t="shared" ref="T5:T68" si="7">(O5*$AD$2)</f>
        <v>26.5</v>
      </c>
      <c r="U5" s="307">
        <f t="shared" ref="U5:U68" si="8">(P5*$AE$2)</f>
        <v>100</v>
      </c>
      <c r="V5" s="307">
        <f>Tabla1[[#This Row],[CONSUMO POL ANIONICO (KG)]]</f>
        <v>5</v>
      </c>
      <c r="W5" s="299">
        <f>Tabla1[[#This Row],[CONSUMO POL CATIONICO (KG)]]</f>
        <v>5</v>
      </c>
      <c r="X5" s="306">
        <f t="shared" ref="X5:X68" si="9">(S5*1000)/L5</f>
        <v>216.66666666666666</v>
      </c>
      <c r="Y5" s="307">
        <f t="shared" ref="Y5:Y68" si="10">(T5*1000)/L5</f>
        <v>55.208333333333336</v>
      </c>
      <c r="Z5" s="307">
        <f t="shared" ref="Z5:Z68" si="11">(U5*1000)/L5</f>
        <v>208.33333333333334</v>
      </c>
      <c r="AA5" s="307">
        <f t="shared" ref="AA5:AA68" si="12">(V5*1000)/L5</f>
        <v>10.416666666666666</v>
      </c>
      <c r="AB5" s="299">
        <f t="shared" ref="AB5:AB68" si="13">(W5*1000)/L5</f>
        <v>10.416666666666666</v>
      </c>
      <c r="AC5" s="308">
        <v>1.3</v>
      </c>
      <c r="AD5" s="308">
        <v>1.325</v>
      </c>
      <c r="AE5" s="308">
        <v>1.25</v>
      </c>
      <c r="AF5" s="309">
        <v>2500</v>
      </c>
      <c r="AG5" s="310">
        <v>2500</v>
      </c>
      <c r="AH5" s="97">
        <v>830</v>
      </c>
      <c r="AI5" s="97">
        <v>2818</v>
      </c>
      <c r="AJ5" s="97">
        <v>6295</v>
      </c>
      <c r="AK5" s="97">
        <v>19050</v>
      </c>
      <c r="AL5" s="97">
        <v>22050</v>
      </c>
      <c r="AM5" s="311">
        <f t="shared" si="3"/>
        <v>86320</v>
      </c>
      <c r="AN5" s="312">
        <f t="shared" si="3"/>
        <v>74677</v>
      </c>
      <c r="AO5" s="312">
        <f t="shared" si="3"/>
        <v>629500</v>
      </c>
      <c r="AP5" s="312">
        <f t="shared" si="3"/>
        <v>95250</v>
      </c>
      <c r="AQ5" s="313">
        <f t="shared" si="3"/>
        <v>110250</v>
      </c>
      <c r="AR5" s="311">
        <f>SUM(Tabla1[[#This Row],[COSTO OPERATIVO ACIDO]:[COSTO OPERATIVO CATIONICO]])</f>
        <v>995997</v>
      </c>
      <c r="AS5" s="311">
        <v>3599</v>
      </c>
      <c r="AT5" s="314">
        <f t="shared" si="4"/>
        <v>2074.9937500000001</v>
      </c>
      <c r="AU5" s="220">
        <f>IFERROR(Tabla1[[#This Row],[CAUDAL TOTAL TRATADO GEM ]]/Tabla1[[#This Row],[CAUDAL DE TRATAMIENTO]],0)</f>
        <v>6</v>
      </c>
    </row>
    <row r="6" spans="1:47" ht="15.75" thickBot="1" x14ac:dyDescent="0.3">
      <c r="A6" s="431">
        <f>+A5</f>
        <v>46114</v>
      </c>
      <c r="B6" s="96">
        <v>2</v>
      </c>
      <c r="C6" s="213" t="s">
        <v>256</v>
      </c>
      <c r="D6" s="214">
        <v>5</v>
      </c>
      <c r="E6" s="214" t="s">
        <v>77</v>
      </c>
      <c r="F6" s="315">
        <v>2700</v>
      </c>
      <c r="G6" s="316">
        <v>5700</v>
      </c>
      <c r="H6" s="316">
        <v>4200</v>
      </c>
      <c r="I6" s="316">
        <f>+I5-5</f>
        <v>270</v>
      </c>
      <c r="J6" s="316">
        <f>+J5-5</f>
        <v>445</v>
      </c>
      <c r="K6" s="325">
        <v>17628</v>
      </c>
      <c r="L6" s="219">
        <f t="shared" si="0"/>
        <v>400</v>
      </c>
      <c r="M6" s="219">
        <v>80</v>
      </c>
      <c r="N6" s="300">
        <f t="shared" si="1"/>
        <v>100</v>
      </c>
      <c r="O6" s="328">
        <f t="shared" si="1"/>
        <v>100</v>
      </c>
      <c r="P6" s="300">
        <f t="shared" si="1"/>
        <v>10</v>
      </c>
      <c r="Q6" s="300">
        <f t="shared" si="2"/>
        <v>5</v>
      </c>
      <c r="R6" s="298">
        <f t="shared" si="2"/>
        <v>5</v>
      </c>
      <c r="S6" s="306">
        <f t="shared" si="6"/>
        <v>130</v>
      </c>
      <c r="T6" s="307">
        <f t="shared" si="7"/>
        <v>132.5</v>
      </c>
      <c r="U6" s="307">
        <f t="shared" si="8"/>
        <v>12.5</v>
      </c>
      <c r="V6" s="317">
        <f>Tabla1[[#This Row],[CONSUMO POL ANIONICO (KG)]]</f>
        <v>5</v>
      </c>
      <c r="W6" s="301">
        <f>Tabla1[[#This Row],[CONSUMO POL CATIONICO (KG)]]</f>
        <v>5</v>
      </c>
      <c r="X6" s="318">
        <f t="shared" si="9"/>
        <v>325</v>
      </c>
      <c r="Y6" s="317">
        <f t="shared" si="10"/>
        <v>331.25</v>
      </c>
      <c r="Z6" s="317">
        <f t="shared" si="11"/>
        <v>31.25</v>
      </c>
      <c r="AA6" s="317">
        <f t="shared" si="12"/>
        <v>12.5</v>
      </c>
      <c r="AB6" s="301">
        <f t="shared" si="13"/>
        <v>12.5</v>
      </c>
      <c r="AC6" s="308">
        <v>1.3</v>
      </c>
      <c r="AD6" s="308">
        <v>1.325</v>
      </c>
      <c r="AE6" s="308">
        <v>1.25</v>
      </c>
      <c r="AF6" s="309">
        <v>2500</v>
      </c>
      <c r="AG6" s="310">
        <v>2500</v>
      </c>
      <c r="AH6" s="97">
        <v>830</v>
      </c>
      <c r="AI6" s="97">
        <v>2818</v>
      </c>
      <c r="AJ6" s="97">
        <v>6295</v>
      </c>
      <c r="AK6" s="97">
        <v>19050</v>
      </c>
      <c r="AL6" s="97">
        <v>22050</v>
      </c>
      <c r="AM6" s="319">
        <f t="shared" si="3"/>
        <v>107900</v>
      </c>
      <c r="AN6" s="314">
        <f t="shared" si="3"/>
        <v>373385</v>
      </c>
      <c r="AO6" s="314">
        <f t="shared" si="3"/>
        <v>78687.5</v>
      </c>
      <c r="AP6" s="314">
        <f t="shared" si="3"/>
        <v>95250</v>
      </c>
      <c r="AQ6" s="320">
        <f t="shared" si="3"/>
        <v>110250</v>
      </c>
      <c r="AR6" s="311">
        <f>SUM(Tabla1[[#This Row],[COSTO OPERATIVO ACIDO]:[COSTO OPERATIVO CATIONICO]])</f>
        <v>765472.5</v>
      </c>
      <c r="AS6" s="319">
        <v>3599</v>
      </c>
      <c r="AT6" s="314">
        <f t="shared" si="4"/>
        <v>1913.6812500000001</v>
      </c>
      <c r="AU6" s="219">
        <f>IFERROR(Tabla1[[#This Row],[CAUDAL TOTAL TRATADO GEM ]]/Tabla1[[#This Row],[CAUDAL DE TRATAMIENTO]],0)</f>
        <v>5</v>
      </c>
    </row>
    <row r="7" spans="1:47" thickBot="1" x14ac:dyDescent="0.3">
      <c r="A7" s="432">
        <f>+A6</f>
        <v>46114</v>
      </c>
      <c r="B7" s="96">
        <v>2</v>
      </c>
      <c r="C7" s="215" t="s">
        <v>30</v>
      </c>
      <c r="D7" s="216">
        <v>6</v>
      </c>
      <c r="E7" s="216" t="s">
        <v>76</v>
      </c>
      <c r="F7" s="315">
        <v>2600</v>
      </c>
      <c r="G7" s="316">
        <v>5600</v>
      </c>
      <c r="H7" s="316">
        <v>4190</v>
      </c>
      <c r="I7" s="316">
        <f>+I6-5</f>
        <v>265</v>
      </c>
      <c r="J7" s="316">
        <f>+J6-5</f>
        <v>440</v>
      </c>
      <c r="K7" s="326">
        <v>17633</v>
      </c>
      <c r="L7" s="221">
        <f t="shared" si="0"/>
        <v>0</v>
      </c>
      <c r="M7" s="221">
        <v>80</v>
      </c>
      <c r="N7" s="302">
        <f t="shared" si="1"/>
        <v>0</v>
      </c>
      <c r="O7" s="329">
        <f t="shared" si="1"/>
        <v>0</v>
      </c>
      <c r="P7" s="302">
        <f t="shared" si="1"/>
        <v>0</v>
      </c>
      <c r="Q7" s="302">
        <f t="shared" si="2"/>
        <v>0</v>
      </c>
      <c r="R7" s="298">
        <f t="shared" si="2"/>
        <v>0</v>
      </c>
      <c r="S7" s="306">
        <f t="shared" si="6"/>
        <v>0</v>
      </c>
      <c r="T7" s="307">
        <f t="shared" si="7"/>
        <v>0</v>
      </c>
      <c r="U7" s="307">
        <f t="shared" si="8"/>
        <v>0</v>
      </c>
      <c r="V7" s="321">
        <f>Tabla1[[#This Row],[CONSUMO POL ANIONICO (KG)]]</f>
        <v>0</v>
      </c>
      <c r="W7" s="303">
        <f>Tabla1[[#This Row],[CONSUMO POL CATIONICO (KG)]]</f>
        <v>0</v>
      </c>
      <c r="X7" s="318" t="e">
        <f t="shared" si="9"/>
        <v>#DIV/0!</v>
      </c>
      <c r="Y7" s="321" t="e">
        <f t="shared" si="10"/>
        <v>#DIV/0!</v>
      </c>
      <c r="Z7" s="321" t="e">
        <f t="shared" si="11"/>
        <v>#DIV/0!</v>
      </c>
      <c r="AA7" s="321" t="e">
        <f t="shared" si="12"/>
        <v>#DIV/0!</v>
      </c>
      <c r="AB7" s="303" t="e">
        <f t="shared" si="13"/>
        <v>#DIV/0!</v>
      </c>
      <c r="AC7" s="308">
        <v>1.3</v>
      </c>
      <c r="AD7" s="308">
        <v>1.325</v>
      </c>
      <c r="AE7" s="308">
        <v>1.25</v>
      </c>
      <c r="AF7" s="309">
        <v>2500</v>
      </c>
      <c r="AG7" s="310">
        <v>2500</v>
      </c>
      <c r="AH7" s="97">
        <v>830</v>
      </c>
      <c r="AI7" s="97">
        <v>2818</v>
      </c>
      <c r="AJ7" s="97">
        <v>6295</v>
      </c>
      <c r="AK7" s="97">
        <v>19050</v>
      </c>
      <c r="AL7" s="97">
        <v>22050</v>
      </c>
      <c r="AM7" s="319">
        <f t="shared" si="3"/>
        <v>0</v>
      </c>
      <c r="AN7" s="322">
        <f t="shared" si="3"/>
        <v>0</v>
      </c>
      <c r="AO7" s="322">
        <f t="shared" si="3"/>
        <v>0</v>
      </c>
      <c r="AP7" s="322">
        <f t="shared" si="3"/>
        <v>0</v>
      </c>
      <c r="AQ7" s="323">
        <f t="shared" si="3"/>
        <v>0</v>
      </c>
      <c r="AR7" s="311">
        <f>SUM(Tabla1[[#This Row],[COSTO OPERATIVO ACIDO]:[COSTO OPERATIVO CATIONICO]])</f>
        <v>0</v>
      </c>
      <c r="AS7" s="319">
        <v>3599</v>
      </c>
      <c r="AT7" s="314" t="e">
        <f t="shared" si="4"/>
        <v>#DIV/0!</v>
      </c>
      <c r="AU7" s="221">
        <f>IFERROR(Tabla1[[#This Row],[CAUDAL TOTAL TRATADO GEM ]]/Tabla1[[#This Row],[CAUDAL DE TRATAMIENTO]],0)</f>
        <v>0</v>
      </c>
    </row>
    <row r="8" spans="1:47" thickBot="1" x14ac:dyDescent="0.3">
      <c r="A8" s="116">
        <f t="shared" ref="A8" si="14">+A7+1</f>
        <v>46115</v>
      </c>
      <c r="B8" s="96">
        <v>3</v>
      </c>
      <c r="C8" s="211" t="s">
        <v>257</v>
      </c>
      <c r="D8" s="212">
        <v>7</v>
      </c>
      <c r="E8" s="212" t="s">
        <v>75</v>
      </c>
      <c r="F8" s="602">
        <v>2600</v>
      </c>
      <c r="G8" s="603">
        <v>5600</v>
      </c>
      <c r="H8" s="603">
        <v>4190</v>
      </c>
      <c r="I8" s="603">
        <f t="shared" ref="I8:J15" si="15">+I7-0</f>
        <v>265</v>
      </c>
      <c r="J8" s="603">
        <f t="shared" si="15"/>
        <v>440</v>
      </c>
      <c r="K8" s="602">
        <v>17633</v>
      </c>
      <c r="L8" s="607">
        <f t="shared" si="0"/>
        <v>0</v>
      </c>
      <c r="M8" s="607">
        <v>80</v>
      </c>
      <c r="N8" s="565">
        <f t="shared" si="1"/>
        <v>0</v>
      </c>
      <c r="O8" s="566">
        <f t="shared" si="1"/>
        <v>0</v>
      </c>
      <c r="P8" s="565">
        <f t="shared" si="1"/>
        <v>0</v>
      </c>
      <c r="Q8" s="565">
        <f t="shared" si="2"/>
        <v>0</v>
      </c>
      <c r="R8" s="298">
        <f t="shared" si="2"/>
        <v>0</v>
      </c>
      <c r="S8" s="577">
        <f t="shared" si="6"/>
        <v>0</v>
      </c>
      <c r="T8" s="578">
        <f t="shared" si="7"/>
        <v>0</v>
      </c>
      <c r="U8" s="578">
        <f t="shared" si="8"/>
        <v>0</v>
      </c>
      <c r="V8" s="578">
        <f>Tabla1[[#This Row],[CONSUMO POL ANIONICO (KG)]]</f>
        <v>0</v>
      </c>
      <c r="W8" s="567">
        <f>Tabla1[[#This Row],[CONSUMO POL CATIONICO (KG)]]</f>
        <v>0</v>
      </c>
      <c r="X8" s="577" t="e">
        <f t="shared" si="9"/>
        <v>#DIV/0!</v>
      </c>
      <c r="Y8" s="578" t="e">
        <f t="shared" si="10"/>
        <v>#DIV/0!</v>
      </c>
      <c r="Z8" s="578" t="e">
        <f t="shared" si="11"/>
        <v>#DIV/0!</v>
      </c>
      <c r="AA8" s="578" t="e">
        <f t="shared" si="12"/>
        <v>#DIV/0!</v>
      </c>
      <c r="AB8" s="567" t="e">
        <f t="shared" si="13"/>
        <v>#DIV/0!</v>
      </c>
      <c r="AC8" s="308">
        <v>1.3</v>
      </c>
      <c r="AD8" s="308">
        <v>1.325</v>
      </c>
      <c r="AE8" s="308">
        <v>1.25</v>
      </c>
      <c r="AF8" s="309">
        <v>2500</v>
      </c>
      <c r="AG8" s="310">
        <v>2500</v>
      </c>
      <c r="AH8" s="97">
        <v>830</v>
      </c>
      <c r="AI8" s="97">
        <v>2818</v>
      </c>
      <c r="AJ8" s="97">
        <v>6295</v>
      </c>
      <c r="AK8" s="97">
        <v>19050</v>
      </c>
      <c r="AL8" s="97">
        <v>22050</v>
      </c>
      <c r="AM8" s="582">
        <f t="shared" si="3"/>
        <v>0</v>
      </c>
      <c r="AN8" s="583">
        <f t="shared" si="3"/>
        <v>0</v>
      </c>
      <c r="AO8" s="583">
        <f t="shared" si="3"/>
        <v>0</v>
      </c>
      <c r="AP8" s="583">
        <f t="shared" si="3"/>
        <v>0</v>
      </c>
      <c r="AQ8" s="584">
        <f t="shared" si="3"/>
        <v>0</v>
      </c>
      <c r="AR8" s="311">
        <f>SUM(Tabla1[[#This Row],[COSTO OPERATIVO ACIDO]:[COSTO OPERATIVO CATIONICO]])</f>
        <v>0</v>
      </c>
      <c r="AS8" s="311">
        <v>3599</v>
      </c>
      <c r="AT8" s="586" t="e">
        <f t="shared" si="4"/>
        <v>#DIV/0!</v>
      </c>
      <c r="AU8" s="220">
        <f>IFERROR(Tabla1[[#This Row],[CAUDAL TOTAL TRATADO GEM ]]/Tabla1[[#This Row],[CAUDAL DE TRATAMIENTO]],0)</f>
        <v>0</v>
      </c>
    </row>
    <row r="9" spans="1:47" ht="15.75" thickBot="1" x14ac:dyDescent="0.3">
      <c r="A9" s="431">
        <f t="shared" ref="A9:A10" si="16">+A8</f>
        <v>46115</v>
      </c>
      <c r="B9" s="96">
        <v>3</v>
      </c>
      <c r="C9" s="213" t="s">
        <v>258</v>
      </c>
      <c r="D9" s="214">
        <v>8</v>
      </c>
      <c r="E9" s="214" t="s">
        <v>77</v>
      </c>
      <c r="F9" s="604">
        <v>2600</v>
      </c>
      <c r="G9" s="605">
        <v>5600</v>
      </c>
      <c r="H9" s="605">
        <v>4190</v>
      </c>
      <c r="I9" s="605">
        <f t="shared" si="15"/>
        <v>265</v>
      </c>
      <c r="J9" s="605">
        <f t="shared" si="15"/>
        <v>440</v>
      </c>
      <c r="K9" s="604">
        <v>17633</v>
      </c>
      <c r="L9" s="608">
        <f t="shared" si="0"/>
        <v>0</v>
      </c>
      <c r="M9" s="608">
        <v>80</v>
      </c>
      <c r="N9" s="568">
        <f t="shared" si="1"/>
        <v>0</v>
      </c>
      <c r="O9" s="569">
        <f t="shared" si="1"/>
        <v>0</v>
      </c>
      <c r="P9" s="568">
        <f t="shared" si="1"/>
        <v>0</v>
      </c>
      <c r="Q9" s="568">
        <f t="shared" si="2"/>
        <v>0</v>
      </c>
      <c r="R9" s="298">
        <f t="shared" si="2"/>
        <v>0</v>
      </c>
      <c r="S9" s="577">
        <f t="shared" si="6"/>
        <v>0</v>
      </c>
      <c r="T9" s="578">
        <f t="shared" si="7"/>
        <v>0</v>
      </c>
      <c r="U9" s="578">
        <f>(P9*$AE$2)</f>
        <v>0</v>
      </c>
      <c r="V9" s="579">
        <f>Tabla1[[#This Row],[CONSUMO POL ANIONICO (KG)]]</f>
        <v>0</v>
      </c>
      <c r="W9" s="570">
        <f>Tabla1[[#This Row],[CONSUMO POL CATIONICO (KG)]]</f>
        <v>0</v>
      </c>
      <c r="X9" s="581" t="e">
        <f t="shared" si="9"/>
        <v>#DIV/0!</v>
      </c>
      <c r="Y9" s="579" t="e">
        <f t="shared" si="10"/>
        <v>#DIV/0!</v>
      </c>
      <c r="Z9" s="579" t="e">
        <f>(U9*1000)/L9</f>
        <v>#DIV/0!</v>
      </c>
      <c r="AA9" s="579" t="e">
        <f t="shared" si="12"/>
        <v>#DIV/0!</v>
      </c>
      <c r="AB9" s="570" t="e">
        <f t="shared" si="13"/>
        <v>#DIV/0!</v>
      </c>
      <c r="AC9" s="308">
        <v>1.3</v>
      </c>
      <c r="AD9" s="308">
        <v>1.325</v>
      </c>
      <c r="AE9" s="308">
        <v>1.25</v>
      </c>
      <c r="AF9" s="309">
        <v>2500</v>
      </c>
      <c r="AG9" s="310">
        <v>2500</v>
      </c>
      <c r="AH9" s="97">
        <v>830</v>
      </c>
      <c r="AI9" s="97">
        <v>2818</v>
      </c>
      <c r="AJ9" s="97">
        <v>6295</v>
      </c>
      <c r="AK9" s="97">
        <v>19050</v>
      </c>
      <c r="AL9" s="97">
        <v>22050</v>
      </c>
      <c r="AM9" s="585">
        <f t="shared" si="3"/>
        <v>0</v>
      </c>
      <c r="AN9" s="586">
        <f t="shared" si="3"/>
        <v>0</v>
      </c>
      <c r="AO9" s="586">
        <f t="shared" si="3"/>
        <v>0</v>
      </c>
      <c r="AP9" s="586">
        <f t="shared" si="3"/>
        <v>0</v>
      </c>
      <c r="AQ9" s="587">
        <f t="shared" si="3"/>
        <v>0</v>
      </c>
      <c r="AR9" s="311">
        <f>SUM(Tabla1[[#This Row],[COSTO OPERATIVO ACIDO]:[COSTO OPERATIVO CATIONICO]])</f>
        <v>0</v>
      </c>
      <c r="AS9" s="319">
        <v>3599</v>
      </c>
      <c r="AT9" s="586" t="e">
        <f t="shared" si="4"/>
        <v>#DIV/0!</v>
      </c>
      <c r="AU9" s="219">
        <f>IFERROR(Tabla1[[#This Row],[CAUDAL TOTAL TRATADO GEM ]]/Tabla1[[#This Row],[CAUDAL DE TRATAMIENTO]],0)</f>
        <v>0</v>
      </c>
    </row>
    <row r="10" spans="1:47" thickBot="1" x14ac:dyDescent="0.3">
      <c r="A10" s="432">
        <f t="shared" si="16"/>
        <v>46115</v>
      </c>
      <c r="B10" s="96">
        <v>3</v>
      </c>
      <c r="C10" s="215" t="s">
        <v>30</v>
      </c>
      <c r="D10" s="216">
        <v>9</v>
      </c>
      <c r="E10" s="216" t="s">
        <v>76</v>
      </c>
      <c r="F10" s="604">
        <v>2600</v>
      </c>
      <c r="G10" s="605">
        <v>5600</v>
      </c>
      <c r="H10" s="605">
        <v>4190</v>
      </c>
      <c r="I10" s="605">
        <f t="shared" si="15"/>
        <v>265</v>
      </c>
      <c r="J10" s="605">
        <f t="shared" si="15"/>
        <v>440</v>
      </c>
      <c r="K10" s="606">
        <v>17633</v>
      </c>
      <c r="L10" s="609">
        <f t="shared" si="0"/>
        <v>0</v>
      </c>
      <c r="M10" s="609">
        <v>80</v>
      </c>
      <c r="N10" s="571">
        <f t="shared" si="1"/>
        <v>0</v>
      </c>
      <c r="O10" s="572">
        <f t="shared" si="1"/>
        <v>0</v>
      </c>
      <c r="P10" s="571">
        <f t="shared" si="1"/>
        <v>0</v>
      </c>
      <c r="Q10" s="571">
        <f t="shared" si="2"/>
        <v>0</v>
      </c>
      <c r="R10" s="298">
        <f t="shared" si="2"/>
        <v>0</v>
      </c>
      <c r="S10" s="577">
        <f t="shared" si="6"/>
        <v>0</v>
      </c>
      <c r="T10" s="578">
        <f t="shared" si="7"/>
        <v>0</v>
      </c>
      <c r="U10" s="578">
        <f t="shared" si="8"/>
        <v>0</v>
      </c>
      <c r="V10" s="580">
        <f>Tabla1[[#This Row],[CONSUMO POL ANIONICO (KG)]]</f>
        <v>0</v>
      </c>
      <c r="W10" s="573">
        <f>Tabla1[[#This Row],[CONSUMO POL CATIONICO (KG)]]</f>
        <v>0</v>
      </c>
      <c r="X10" s="581" t="e">
        <f t="shared" si="9"/>
        <v>#DIV/0!</v>
      </c>
      <c r="Y10" s="580" t="e">
        <f t="shared" si="10"/>
        <v>#DIV/0!</v>
      </c>
      <c r="Z10" s="580" t="e">
        <f t="shared" si="11"/>
        <v>#DIV/0!</v>
      </c>
      <c r="AA10" s="580" t="e">
        <f t="shared" si="12"/>
        <v>#DIV/0!</v>
      </c>
      <c r="AB10" s="573" t="e">
        <f t="shared" si="13"/>
        <v>#DIV/0!</v>
      </c>
      <c r="AC10" s="308">
        <v>1.3</v>
      </c>
      <c r="AD10" s="308">
        <v>1.325</v>
      </c>
      <c r="AE10" s="308">
        <v>1.25</v>
      </c>
      <c r="AF10" s="309">
        <v>2500</v>
      </c>
      <c r="AG10" s="310">
        <v>2500</v>
      </c>
      <c r="AH10" s="97">
        <v>830</v>
      </c>
      <c r="AI10" s="97">
        <v>2818</v>
      </c>
      <c r="AJ10" s="97">
        <v>6295</v>
      </c>
      <c r="AK10" s="97">
        <v>19050</v>
      </c>
      <c r="AL10" s="97">
        <v>22050</v>
      </c>
      <c r="AM10" s="585">
        <f t="shared" si="3"/>
        <v>0</v>
      </c>
      <c r="AN10" s="588">
        <f t="shared" si="3"/>
        <v>0</v>
      </c>
      <c r="AO10" s="588">
        <f t="shared" si="3"/>
        <v>0</v>
      </c>
      <c r="AP10" s="588">
        <f t="shared" si="3"/>
        <v>0</v>
      </c>
      <c r="AQ10" s="589">
        <f t="shared" si="3"/>
        <v>0</v>
      </c>
      <c r="AR10" s="311">
        <f>SUM(Tabla1[[#This Row],[COSTO OPERATIVO ACIDO]:[COSTO OPERATIVO CATIONICO]])</f>
        <v>0</v>
      </c>
      <c r="AS10" s="319">
        <v>3599</v>
      </c>
      <c r="AT10" s="586" t="e">
        <f t="shared" si="4"/>
        <v>#DIV/0!</v>
      </c>
      <c r="AU10" s="221">
        <f>IFERROR(Tabla1[[#This Row],[CAUDAL TOTAL TRATADO GEM ]]/Tabla1[[#This Row],[CAUDAL DE TRATAMIENTO]],0)</f>
        <v>0</v>
      </c>
    </row>
    <row r="11" spans="1:47" thickBot="1" x14ac:dyDescent="0.3">
      <c r="A11" s="116">
        <f t="shared" ref="A11" si="17">+A10+1</f>
        <v>46116</v>
      </c>
      <c r="B11" s="96">
        <v>4</v>
      </c>
      <c r="C11" s="211" t="s">
        <v>259</v>
      </c>
      <c r="D11" s="212">
        <v>10</v>
      </c>
      <c r="E11" s="212" t="s">
        <v>75</v>
      </c>
      <c r="F11" s="602">
        <v>2600</v>
      </c>
      <c r="G11" s="603">
        <v>5600</v>
      </c>
      <c r="H11" s="603">
        <v>4190</v>
      </c>
      <c r="I11" s="603">
        <f t="shared" si="15"/>
        <v>265</v>
      </c>
      <c r="J11" s="603">
        <f t="shared" si="15"/>
        <v>440</v>
      </c>
      <c r="K11" s="602">
        <v>17633</v>
      </c>
      <c r="L11" s="607">
        <f t="shared" si="0"/>
        <v>0</v>
      </c>
      <c r="M11" s="607">
        <v>80</v>
      </c>
      <c r="N11" s="565">
        <f t="shared" si="1"/>
        <v>0</v>
      </c>
      <c r="O11" s="566">
        <f t="shared" si="1"/>
        <v>0</v>
      </c>
      <c r="P11" s="565">
        <f t="shared" si="1"/>
        <v>0</v>
      </c>
      <c r="Q11" s="565">
        <f t="shared" si="2"/>
        <v>0</v>
      </c>
      <c r="R11" s="298">
        <f t="shared" si="2"/>
        <v>0</v>
      </c>
      <c r="S11" s="577">
        <f t="shared" si="6"/>
        <v>0</v>
      </c>
      <c r="T11" s="578">
        <f t="shared" si="7"/>
        <v>0</v>
      </c>
      <c r="U11" s="578">
        <f t="shared" si="8"/>
        <v>0</v>
      </c>
      <c r="V11" s="578">
        <f>Tabla1[[#This Row],[CONSUMO POL ANIONICO (KG)]]</f>
        <v>0</v>
      </c>
      <c r="W11" s="567">
        <f>Tabla1[[#This Row],[CONSUMO POL CATIONICO (KG)]]</f>
        <v>0</v>
      </c>
      <c r="X11" s="577" t="e">
        <f t="shared" si="9"/>
        <v>#DIV/0!</v>
      </c>
      <c r="Y11" s="578" t="e">
        <f t="shared" si="10"/>
        <v>#DIV/0!</v>
      </c>
      <c r="Z11" s="578" t="e">
        <f t="shared" si="11"/>
        <v>#DIV/0!</v>
      </c>
      <c r="AA11" s="578" t="e">
        <f t="shared" si="12"/>
        <v>#DIV/0!</v>
      </c>
      <c r="AB11" s="567" t="e">
        <f t="shared" si="13"/>
        <v>#DIV/0!</v>
      </c>
      <c r="AC11" s="308">
        <v>1.3</v>
      </c>
      <c r="AD11" s="308">
        <v>1.325</v>
      </c>
      <c r="AE11" s="308">
        <v>1.25</v>
      </c>
      <c r="AF11" s="309">
        <v>2500</v>
      </c>
      <c r="AG11" s="310">
        <v>2500</v>
      </c>
      <c r="AH11" s="97">
        <v>830</v>
      </c>
      <c r="AI11" s="97">
        <v>2818</v>
      </c>
      <c r="AJ11" s="97">
        <v>6295</v>
      </c>
      <c r="AK11" s="97">
        <v>19050</v>
      </c>
      <c r="AL11" s="97">
        <v>22050</v>
      </c>
      <c r="AM11" s="582">
        <f t="shared" si="3"/>
        <v>0</v>
      </c>
      <c r="AN11" s="583">
        <f t="shared" si="3"/>
        <v>0</v>
      </c>
      <c r="AO11" s="583">
        <f t="shared" si="3"/>
        <v>0</v>
      </c>
      <c r="AP11" s="583">
        <f t="shared" si="3"/>
        <v>0</v>
      </c>
      <c r="AQ11" s="584">
        <f t="shared" si="3"/>
        <v>0</v>
      </c>
      <c r="AR11" s="311">
        <f>SUM(Tabla1[[#This Row],[COSTO OPERATIVO ACIDO]:[COSTO OPERATIVO CATIONICO]])</f>
        <v>0</v>
      </c>
      <c r="AS11" s="311">
        <v>3599</v>
      </c>
      <c r="AT11" s="586" t="e">
        <f t="shared" si="4"/>
        <v>#DIV/0!</v>
      </c>
      <c r="AU11" s="220">
        <f>IFERROR(Tabla1[[#This Row],[CAUDAL TOTAL TRATADO GEM ]]/Tabla1[[#This Row],[CAUDAL DE TRATAMIENTO]],0)</f>
        <v>0</v>
      </c>
    </row>
    <row r="12" spans="1:47" ht="15.75" thickBot="1" x14ac:dyDescent="0.3">
      <c r="A12" s="431">
        <f t="shared" ref="A12:A13" si="18">+A11</f>
        <v>46116</v>
      </c>
      <c r="B12" s="96">
        <v>4</v>
      </c>
      <c r="C12" s="213" t="s">
        <v>260</v>
      </c>
      <c r="D12" s="214">
        <v>11</v>
      </c>
      <c r="E12" s="214" t="s">
        <v>77</v>
      </c>
      <c r="F12" s="604">
        <v>2600</v>
      </c>
      <c r="G12" s="605">
        <v>5600</v>
      </c>
      <c r="H12" s="605">
        <v>4190</v>
      </c>
      <c r="I12" s="605">
        <f t="shared" si="15"/>
        <v>265</v>
      </c>
      <c r="J12" s="605">
        <f t="shared" si="15"/>
        <v>440</v>
      </c>
      <c r="K12" s="604">
        <v>17633</v>
      </c>
      <c r="L12" s="608">
        <f t="shared" si="0"/>
        <v>0</v>
      </c>
      <c r="M12" s="608">
        <v>80</v>
      </c>
      <c r="N12" s="568">
        <f t="shared" si="1"/>
        <v>0</v>
      </c>
      <c r="O12" s="569">
        <f t="shared" si="1"/>
        <v>0</v>
      </c>
      <c r="P12" s="568">
        <f t="shared" si="1"/>
        <v>0</v>
      </c>
      <c r="Q12" s="568">
        <f t="shared" si="2"/>
        <v>0</v>
      </c>
      <c r="R12" s="298">
        <f t="shared" si="2"/>
        <v>0</v>
      </c>
      <c r="S12" s="577">
        <f t="shared" si="6"/>
        <v>0</v>
      </c>
      <c r="T12" s="578">
        <f t="shared" si="7"/>
        <v>0</v>
      </c>
      <c r="U12" s="578">
        <f t="shared" si="8"/>
        <v>0</v>
      </c>
      <c r="V12" s="579">
        <f>Tabla1[[#This Row],[CONSUMO POL ANIONICO (KG)]]</f>
        <v>0</v>
      </c>
      <c r="W12" s="570">
        <f>Tabla1[[#This Row],[CONSUMO POL CATIONICO (KG)]]</f>
        <v>0</v>
      </c>
      <c r="X12" s="581" t="e">
        <f t="shared" si="9"/>
        <v>#DIV/0!</v>
      </c>
      <c r="Y12" s="579" t="e">
        <f t="shared" si="10"/>
        <v>#DIV/0!</v>
      </c>
      <c r="Z12" s="579" t="e">
        <f t="shared" si="11"/>
        <v>#DIV/0!</v>
      </c>
      <c r="AA12" s="579" t="e">
        <f t="shared" si="12"/>
        <v>#DIV/0!</v>
      </c>
      <c r="AB12" s="570" t="e">
        <f t="shared" si="13"/>
        <v>#DIV/0!</v>
      </c>
      <c r="AC12" s="308">
        <v>1.3</v>
      </c>
      <c r="AD12" s="308">
        <v>1.325</v>
      </c>
      <c r="AE12" s="308">
        <v>1.25</v>
      </c>
      <c r="AF12" s="309">
        <v>2500</v>
      </c>
      <c r="AG12" s="310">
        <v>2500</v>
      </c>
      <c r="AH12" s="97">
        <v>830</v>
      </c>
      <c r="AI12" s="97">
        <v>2818</v>
      </c>
      <c r="AJ12" s="97">
        <v>6295</v>
      </c>
      <c r="AK12" s="97">
        <v>19050</v>
      </c>
      <c r="AL12" s="97">
        <v>22050</v>
      </c>
      <c r="AM12" s="585">
        <f t="shared" si="3"/>
        <v>0</v>
      </c>
      <c r="AN12" s="586">
        <f t="shared" si="3"/>
        <v>0</v>
      </c>
      <c r="AO12" s="586">
        <f t="shared" si="3"/>
        <v>0</v>
      </c>
      <c r="AP12" s="586">
        <f t="shared" si="3"/>
        <v>0</v>
      </c>
      <c r="AQ12" s="587">
        <f t="shared" si="3"/>
        <v>0</v>
      </c>
      <c r="AR12" s="311">
        <f>SUM(Tabla1[[#This Row],[COSTO OPERATIVO ACIDO]:[COSTO OPERATIVO CATIONICO]])</f>
        <v>0</v>
      </c>
      <c r="AS12" s="319">
        <v>3599</v>
      </c>
      <c r="AT12" s="586" t="e">
        <f t="shared" si="4"/>
        <v>#DIV/0!</v>
      </c>
      <c r="AU12" s="219">
        <f>IFERROR(Tabla1[[#This Row],[CAUDAL TOTAL TRATADO GEM ]]/Tabla1[[#This Row],[CAUDAL DE TRATAMIENTO]],0)</f>
        <v>0</v>
      </c>
    </row>
    <row r="13" spans="1:47" thickBot="1" x14ac:dyDescent="0.3">
      <c r="A13" s="432">
        <f t="shared" si="18"/>
        <v>46116</v>
      </c>
      <c r="B13" s="96">
        <v>4</v>
      </c>
      <c r="C13" s="215" t="s">
        <v>30</v>
      </c>
      <c r="D13" s="216">
        <v>12</v>
      </c>
      <c r="E13" s="216" t="s">
        <v>76</v>
      </c>
      <c r="F13" s="604">
        <v>2600</v>
      </c>
      <c r="G13" s="605">
        <v>5600</v>
      </c>
      <c r="H13" s="605">
        <v>4190</v>
      </c>
      <c r="I13" s="605">
        <f t="shared" si="15"/>
        <v>265</v>
      </c>
      <c r="J13" s="605">
        <f t="shared" si="15"/>
        <v>440</v>
      </c>
      <c r="K13" s="606">
        <v>17633</v>
      </c>
      <c r="L13" s="609">
        <f t="shared" si="0"/>
        <v>0</v>
      </c>
      <c r="M13" s="609">
        <v>80</v>
      </c>
      <c r="N13" s="571">
        <f t="shared" si="1"/>
        <v>0</v>
      </c>
      <c r="O13" s="572">
        <f t="shared" si="1"/>
        <v>0</v>
      </c>
      <c r="P13" s="571">
        <f t="shared" si="1"/>
        <v>0</v>
      </c>
      <c r="Q13" s="571">
        <f t="shared" si="2"/>
        <v>0</v>
      </c>
      <c r="R13" s="298">
        <f t="shared" si="2"/>
        <v>0</v>
      </c>
      <c r="S13" s="577">
        <f t="shared" si="6"/>
        <v>0</v>
      </c>
      <c r="T13" s="578">
        <f t="shared" si="7"/>
        <v>0</v>
      </c>
      <c r="U13" s="578">
        <f t="shared" si="8"/>
        <v>0</v>
      </c>
      <c r="V13" s="580">
        <f>Tabla1[[#This Row],[CONSUMO POL ANIONICO (KG)]]</f>
        <v>0</v>
      </c>
      <c r="W13" s="573">
        <f>Tabla1[[#This Row],[CONSUMO POL CATIONICO (KG)]]</f>
        <v>0</v>
      </c>
      <c r="X13" s="581" t="e">
        <f t="shared" si="9"/>
        <v>#DIV/0!</v>
      </c>
      <c r="Y13" s="580" t="e">
        <f t="shared" si="10"/>
        <v>#DIV/0!</v>
      </c>
      <c r="Z13" s="580" t="e">
        <f t="shared" si="11"/>
        <v>#DIV/0!</v>
      </c>
      <c r="AA13" s="580" t="e">
        <f t="shared" si="12"/>
        <v>#DIV/0!</v>
      </c>
      <c r="AB13" s="573" t="e">
        <f t="shared" si="13"/>
        <v>#DIV/0!</v>
      </c>
      <c r="AC13" s="308">
        <v>1.3</v>
      </c>
      <c r="AD13" s="308">
        <v>1.325</v>
      </c>
      <c r="AE13" s="308">
        <v>1.25</v>
      </c>
      <c r="AF13" s="309">
        <v>2500</v>
      </c>
      <c r="AG13" s="310">
        <v>2500</v>
      </c>
      <c r="AH13" s="97">
        <v>830</v>
      </c>
      <c r="AI13" s="97">
        <v>2818</v>
      </c>
      <c r="AJ13" s="97">
        <v>6295</v>
      </c>
      <c r="AK13" s="97">
        <v>19050</v>
      </c>
      <c r="AL13" s="97">
        <v>22050</v>
      </c>
      <c r="AM13" s="585">
        <f t="shared" si="3"/>
        <v>0</v>
      </c>
      <c r="AN13" s="588">
        <f t="shared" si="3"/>
        <v>0</v>
      </c>
      <c r="AO13" s="588">
        <f t="shared" si="3"/>
        <v>0</v>
      </c>
      <c r="AP13" s="588">
        <f t="shared" si="3"/>
        <v>0</v>
      </c>
      <c r="AQ13" s="589">
        <f t="shared" si="3"/>
        <v>0</v>
      </c>
      <c r="AR13" s="311">
        <f>SUM(Tabla1[[#This Row],[COSTO OPERATIVO ACIDO]:[COSTO OPERATIVO CATIONICO]])</f>
        <v>0</v>
      </c>
      <c r="AS13" s="319">
        <v>3599</v>
      </c>
      <c r="AT13" s="586" t="e">
        <f t="shared" si="4"/>
        <v>#DIV/0!</v>
      </c>
      <c r="AU13" s="221">
        <f>IFERROR(Tabla1[[#This Row],[CAUDAL TOTAL TRATADO GEM ]]/Tabla1[[#This Row],[CAUDAL DE TRATAMIENTO]],0)</f>
        <v>0</v>
      </c>
    </row>
    <row r="14" spans="1:47" thickBot="1" x14ac:dyDescent="0.3">
      <c r="A14" s="116">
        <f t="shared" ref="A14" si="19">+A13+1</f>
        <v>46117</v>
      </c>
      <c r="B14" s="96">
        <v>5</v>
      </c>
      <c r="C14" s="211" t="s">
        <v>261</v>
      </c>
      <c r="D14" s="212">
        <v>13</v>
      </c>
      <c r="E14" s="212" t="s">
        <v>75</v>
      </c>
      <c r="F14" s="602">
        <v>2600</v>
      </c>
      <c r="G14" s="603">
        <v>5600</v>
      </c>
      <c r="H14" s="603">
        <v>4190</v>
      </c>
      <c r="I14" s="603">
        <f t="shared" si="15"/>
        <v>265</v>
      </c>
      <c r="J14" s="603">
        <f t="shared" si="15"/>
        <v>440</v>
      </c>
      <c r="K14" s="602">
        <v>17633</v>
      </c>
      <c r="L14" s="607">
        <f t="shared" si="0"/>
        <v>0</v>
      </c>
      <c r="M14" s="607">
        <v>80</v>
      </c>
      <c r="N14" s="565">
        <f t="shared" si="1"/>
        <v>0</v>
      </c>
      <c r="O14" s="566">
        <f t="shared" si="1"/>
        <v>0</v>
      </c>
      <c r="P14" s="565">
        <f t="shared" si="1"/>
        <v>0</v>
      </c>
      <c r="Q14" s="565">
        <f t="shared" si="2"/>
        <v>0</v>
      </c>
      <c r="R14" s="298">
        <f t="shared" si="2"/>
        <v>0</v>
      </c>
      <c r="S14" s="577">
        <f t="shared" si="6"/>
        <v>0</v>
      </c>
      <c r="T14" s="578">
        <f t="shared" si="7"/>
        <v>0</v>
      </c>
      <c r="U14" s="578">
        <f t="shared" si="8"/>
        <v>0</v>
      </c>
      <c r="V14" s="578">
        <f>Tabla1[[#This Row],[CONSUMO POL ANIONICO (KG)]]</f>
        <v>0</v>
      </c>
      <c r="W14" s="567">
        <f>Tabla1[[#This Row],[CONSUMO POL CATIONICO (KG)]]</f>
        <v>0</v>
      </c>
      <c r="X14" s="577" t="e">
        <f t="shared" si="9"/>
        <v>#DIV/0!</v>
      </c>
      <c r="Y14" s="578" t="e">
        <f t="shared" si="10"/>
        <v>#DIV/0!</v>
      </c>
      <c r="Z14" s="578" t="e">
        <f t="shared" si="11"/>
        <v>#DIV/0!</v>
      </c>
      <c r="AA14" s="578" t="e">
        <f t="shared" si="12"/>
        <v>#DIV/0!</v>
      </c>
      <c r="AB14" s="567" t="e">
        <f t="shared" si="13"/>
        <v>#DIV/0!</v>
      </c>
      <c r="AC14" s="308">
        <v>1.3</v>
      </c>
      <c r="AD14" s="308">
        <v>1.325</v>
      </c>
      <c r="AE14" s="308">
        <v>1.25</v>
      </c>
      <c r="AF14" s="309">
        <v>2500</v>
      </c>
      <c r="AG14" s="310">
        <v>2500</v>
      </c>
      <c r="AH14" s="97">
        <v>830</v>
      </c>
      <c r="AI14" s="97">
        <v>2818</v>
      </c>
      <c r="AJ14" s="97">
        <v>6295</v>
      </c>
      <c r="AK14" s="97">
        <v>19050</v>
      </c>
      <c r="AL14" s="97">
        <v>22050</v>
      </c>
      <c r="AM14" s="582">
        <f t="shared" si="3"/>
        <v>0</v>
      </c>
      <c r="AN14" s="583">
        <f t="shared" si="3"/>
        <v>0</v>
      </c>
      <c r="AO14" s="583">
        <f t="shared" si="3"/>
        <v>0</v>
      </c>
      <c r="AP14" s="583">
        <f t="shared" si="3"/>
        <v>0</v>
      </c>
      <c r="AQ14" s="584">
        <f t="shared" si="3"/>
        <v>0</v>
      </c>
      <c r="AR14" s="311">
        <f>SUM(Tabla1[[#This Row],[COSTO OPERATIVO ACIDO]:[COSTO OPERATIVO CATIONICO]])</f>
        <v>0</v>
      </c>
      <c r="AS14" s="311">
        <v>3599</v>
      </c>
      <c r="AT14" s="586" t="e">
        <f t="shared" si="4"/>
        <v>#DIV/0!</v>
      </c>
      <c r="AU14" s="220">
        <f>IFERROR(Tabla1[[#This Row],[CAUDAL TOTAL TRATADO GEM ]]/Tabla1[[#This Row],[CAUDAL DE TRATAMIENTO]],0)</f>
        <v>0</v>
      </c>
    </row>
    <row r="15" spans="1:47" ht="15.75" thickBot="1" x14ac:dyDescent="0.3">
      <c r="A15" s="431">
        <f t="shared" ref="A15:A16" si="20">+A14</f>
        <v>46117</v>
      </c>
      <c r="B15" s="96">
        <v>5</v>
      </c>
      <c r="C15" s="213" t="s">
        <v>262</v>
      </c>
      <c r="D15" s="214">
        <v>14</v>
      </c>
      <c r="E15" s="214" t="s">
        <v>77</v>
      </c>
      <c r="F15" s="604">
        <v>2600</v>
      </c>
      <c r="G15" s="605">
        <v>5600</v>
      </c>
      <c r="H15" s="605">
        <v>4190</v>
      </c>
      <c r="I15" s="605">
        <f t="shared" si="15"/>
        <v>265</v>
      </c>
      <c r="J15" s="605">
        <f t="shared" si="15"/>
        <v>440</v>
      </c>
      <c r="K15" s="604">
        <v>17633</v>
      </c>
      <c r="L15" s="608">
        <f t="shared" si="0"/>
        <v>0</v>
      </c>
      <c r="M15" s="608">
        <v>80</v>
      </c>
      <c r="N15" s="568">
        <f t="shared" si="1"/>
        <v>0</v>
      </c>
      <c r="O15" s="569">
        <f t="shared" si="1"/>
        <v>0</v>
      </c>
      <c r="P15" s="568">
        <f t="shared" si="1"/>
        <v>0</v>
      </c>
      <c r="Q15" s="568">
        <f t="shared" si="2"/>
        <v>0</v>
      </c>
      <c r="R15" s="298">
        <f t="shared" si="2"/>
        <v>0</v>
      </c>
      <c r="S15" s="577">
        <f t="shared" si="6"/>
        <v>0</v>
      </c>
      <c r="T15" s="578">
        <f t="shared" si="7"/>
        <v>0</v>
      </c>
      <c r="U15" s="578">
        <f t="shared" si="8"/>
        <v>0</v>
      </c>
      <c r="V15" s="579">
        <f>Tabla1[[#This Row],[CONSUMO POL ANIONICO (KG)]]</f>
        <v>0</v>
      </c>
      <c r="W15" s="570">
        <f>Tabla1[[#This Row],[CONSUMO POL CATIONICO (KG)]]</f>
        <v>0</v>
      </c>
      <c r="X15" s="581" t="e">
        <f t="shared" si="9"/>
        <v>#DIV/0!</v>
      </c>
      <c r="Y15" s="579" t="e">
        <f t="shared" si="10"/>
        <v>#DIV/0!</v>
      </c>
      <c r="Z15" s="579" t="e">
        <f t="shared" si="11"/>
        <v>#DIV/0!</v>
      </c>
      <c r="AA15" s="579" t="e">
        <f t="shared" si="12"/>
        <v>#DIV/0!</v>
      </c>
      <c r="AB15" s="570" t="e">
        <f t="shared" si="13"/>
        <v>#DIV/0!</v>
      </c>
      <c r="AC15" s="308">
        <v>1.3</v>
      </c>
      <c r="AD15" s="308">
        <v>1.325</v>
      </c>
      <c r="AE15" s="308">
        <v>1.25</v>
      </c>
      <c r="AF15" s="309">
        <v>2500</v>
      </c>
      <c r="AG15" s="310">
        <v>2500</v>
      </c>
      <c r="AH15" s="97">
        <v>830</v>
      </c>
      <c r="AI15" s="97">
        <v>2818</v>
      </c>
      <c r="AJ15" s="97">
        <v>6295</v>
      </c>
      <c r="AK15" s="97">
        <v>19050</v>
      </c>
      <c r="AL15" s="97">
        <v>22050</v>
      </c>
      <c r="AM15" s="585">
        <f t="shared" si="3"/>
        <v>0</v>
      </c>
      <c r="AN15" s="586">
        <f t="shared" si="3"/>
        <v>0</v>
      </c>
      <c r="AO15" s="586">
        <f t="shared" si="3"/>
        <v>0</v>
      </c>
      <c r="AP15" s="586">
        <f t="shared" si="3"/>
        <v>0</v>
      </c>
      <c r="AQ15" s="587">
        <f t="shared" si="3"/>
        <v>0</v>
      </c>
      <c r="AR15" s="311">
        <f>SUM(Tabla1[[#This Row],[COSTO OPERATIVO ACIDO]:[COSTO OPERATIVO CATIONICO]])</f>
        <v>0</v>
      </c>
      <c r="AS15" s="319">
        <v>3599</v>
      </c>
      <c r="AT15" s="586" t="e">
        <f t="shared" si="4"/>
        <v>#DIV/0!</v>
      </c>
      <c r="AU15" s="219">
        <f>IFERROR(Tabla1[[#This Row],[CAUDAL TOTAL TRATADO GEM ]]/Tabla1[[#This Row],[CAUDAL DE TRATAMIENTO]],0)</f>
        <v>0</v>
      </c>
    </row>
    <row r="16" spans="1:47" thickBot="1" x14ac:dyDescent="0.3">
      <c r="A16" s="432">
        <f t="shared" si="20"/>
        <v>46117</v>
      </c>
      <c r="B16" s="96">
        <v>5</v>
      </c>
      <c r="C16" s="215" t="s">
        <v>30</v>
      </c>
      <c r="D16" s="216">
        <v>15</v>
      </c>
      <c r="E16" s="216" t="s">
        <v>76</v>
      </c>
      <c r="F16" s="315">
        <v>2600</v>
      </c>
      <c r="G16" s="316">
        <v>5600</v>
      </c>
      <c r="H16" s="316">
        <v>4190</v>
      </c>
      <c r="I16" s="316">
        <f>+I15-0</f>
        <v>265</v>
      </c>
      <c r="J16" s="316">
        <f>J15-0</f>
        <v>440</v>
      </c>
      <c r="K16" s="326">
        <v>17633</v>
      </c>
      <c r="L16" s="221">
        <f t="shared" si="0"/>
        <v>0</v>
      </c>
      <c r="M16" s="221">
        <v>80</v>
      </c>
      <c r="N16" s="302">
        <f t="shared" si="1"/>
        <v>0</v>
      </c>
      <c r="O16" s="329">
        <f t="shared" si="1"/>
        <v>0</v>
      </c>
      <c r="P16" s="302">
        <f t="shared" si="1"/>
        <v>0</v>
      </c>
      <c r="Q16" s="302">
        <f t="shared" si="2"/>
        <v>0</v>
      </c>
      <c r="R16" s="298">
        <f t="shared" si="2"/>
        <v>0</v>
      </c>
      <c r="S16" s="306">
        <f t="shared" si="6"/>
        <v>0</v>
      </c>
      <c r="T16" s="307">
        <f t="shared" si="7"/>
        <v>0</v>
      </c>
      <c r="U16" s="307">
        <f t="shared" si="8"/>
        <v>0</v>
      </c>
      <c r="V16" s="321">
        <f>Tabla1[[#This Row],[CONSUMO POL ANIONICO (KG)]]</f>
        <v>0</v>
      </c>
      <c r="W16" s="303">
        <f>Tabla1[[#This Row],[CONSUMO POL CATIONICO (KG)]]</f>
        <v>0</v>
      </c>
      <c r="X16" s="318" t="e">
        <f t="shared" si="9"/>
        <v>#DIV/0!</v>
      </c>
      <c r="Y16" s="321" t="e">
        <f t="shared" si="10"/>
        <v>#DIV/0!</v>
      </c>
      <c r="Z16" s="321" t="e">
        <f t="shared" si="11"/>
        <v>#DIV/0!</v>
      </c>
      <c r="AA16" s="321" t="e">
        <f t="shared" si="12"/>
        <v>#DIV/0!</v>
      </c>
      <c r="AB16" s="303" t="e">
        <f t="shared" si="13"/>
        <v>#DIV/0!</v>
      </c>
      <c r="AC16" s="308">
        <v>1.3</v>
      </c>
      <c r="AD16" s="308">
        <v>1.325</v>
      </c>
      <c r="AE16" s="308">
        <v>1.25</v>
      </c>
      <c r="AF16" s="309">
        <v>2500</v>
      </c>
      <c r="AG16" s="310">
        <v>2500</v>
      </c>
      <c r="AH16" s="97">
        <v>830</v>
      </c>
      <c r="AI16" s="97">
        <v>2818</v>
      </c>
      <c r="AJ16" s="97">
        <v>6295</v>
      </c>
      <c r="AK16" s="97">
        <v>19050</v>
      </c>
      <c r="AL16" s="97">
        <v>22050</v>
      </c>
      <c r="AM16" s="319">
        <f t="shared" si="3"/>
        <v>0</v>
      </c>
      <c r="AN16" s="322">
        <f t="shared" si="3"/>
        <v>0</v>
      </c>
      <c r="AO16" s="322">
        <f t="shared" si="3"/>
        <v>0</v>
      </c>
      <c r="AP16" s="322">
        <f t="shared" si="3"/>
        <v>0</v>
      </c>
      <c r="AQ16" s="323">
        <f t="shared" si="3"/>
        <v>0</v>
      </c>
      <c r="AR16" s="311">
        <f>SUM(Tabla1[[#This Row],[COSTO OPERATIVO ACIDO]:[COSTO OPERATIVO CATIONICO]])</f>
        <v>0</v>
      </c>
      <c r="AS16" s="319">
        <v>3599</v>
      </c>
      <c r="AT16" s="314" t="e">
        <f t="shared" si="4"/>
        <v>#DIV/0!</v>
      </c>
      <c r="AU16" s="221">
        <f>IFERROR(Tabla1[[#This Row],[CAUDAL TOTAL TRATADO GEM ]]/Tabla1[[#This Row],[CAUDAL DE TRATAMIENTO]],0)</f>
        <v>0</v>
      </c>
    </row>
    <row r="17" spans="1:47" thickBot="1" x14ac:dyDescent="0.3">
      <c r="A17" s="116">
        <f t="shared" ref="A17" si="21">+A16+1</f>
        <v>46118</v>
      </c>
      <c r="B17" s="96">
        <v>6</v>
      </c>
      <c r="C17" s="211" t="s">
        <v>263</v>
      </c>
      <c r="D17" s="212">
        <v>16</v>
      </c>
      <c r="E17" s="212" t="s">
        <v>75</v>
      </c>
      <c r="F17" s="304">
        <v>2600</v>
      </c>
      <c r="G17" s="305">
        <v>5600</v>
      </c>
      <c r="H17" s="305">
        <v>4190</v>
      </c>
      <c r="I17" s="305">
        <f>+I16-0</f>
        <v>265</v>
      </c>
      <c r="J17" s="305">
        <f>+J16-0</f>
        <v>440</v>
      </c>
      <c r="K17" s="324">
        <v>17633</v>
      </c>
      <c r="L17" s="220">
        <f t="shared" si="0"/>
        <v>160</v>
      </c>
      <c r="M17" s="220">
        <v>80</v>
      </c>
      <c r="N17" s="298">
        <f t="shared" si="1"/>
        <v>20</v>
      </c>
      <c r="O17" s="574">
        <f>G17-G18+4000</f>
        <v>110</v>
      </c>
      <c r="P17" s="298">
        <f t="shared" si="1"/>
        <v>0</v>
      </c>
      <c r="Q17" s="298">
        <f t="shared" si="2"/>
        <v>0</v>
      </c>
      <c r="R17" s="298">
        <f t="shared" si="2"/>
        <v>0</v>
      </c>
      <c r="S17" s="306">
        <f t="shared" si="6"/>
        <v>26</v>
      </c>
      <c r="T17" s="307">
        <f t="shared" si="7"/>
        <v>145.75</v>
      </c>
      <c r="U17" s="307">
        <f t="shared" si="8"/>
        <v>0</v>
      </c>
      <c r="V17" s="307">
        <f>Tabla1[[#This Row],[CONSUMO POL ANIONICO (KG)]]</f>
        <v>0</v>
      </c>
      <c r="W17" s="299">
        <f>Tabla1[[#This Row],[CONSUMO POL CATIONICO (KG)]]</f>
        <v>0</v>
      </c>
      <c r="X17" s="306">
        <f t="shared" si="9"/>
        <v>162.5</v>
      </c>
      <c r="Y17" s="307">
        <f t="shared" si="10"/>
        <v>910.9375</v>
      </c>
      <c r="Z17" s="307">
        <f t="shared" si="11"/>
        <v>0</v>
      </c>
      <c r="AA17" s="307">
        <f t="shared" si="12"/>
        <v>0</v>
      </c>
      <c r="AB17" s="299">
        <f t="shared" si="13"/>
        <v>0</v>
      </c>
      <c r="AC17" s="308">
        <v>1.3</v>
      </c>
      <c r="AD17" s="308">
        <v>1.325</v>
      </c>
      <c r="AE17" s="308">
        <v>1.25</v>
      </c>
      <c r="AF17" s="309">
        <v>2500</v>
      </c>
      <c r="AG17" s="310">
        <v>2500</v>
      </c>
      <c r="AH17" s="97">
        <v>830</v>
      </c>
      <c r="AI17" s="97">
        <v>2818</v>
      </c>
      <c r="AJ17" s="97">
        <v>6295</v>
      </c>
      <c r="AK17" s="97">
        <v>19050</v>
      </c>
      <c r="AL17" s="97">
        <v>22050</v>
      </c>
      <c r="AM17" s="311">
        <f t="shared" si="3"/>
        <v>21580</v>
      </c>
      <c r="AN17" s="312">
        <f t="shared" si="3"/>
        <v>410723.5</v>
      </c>
      <c r="AO17" s="312">
        <f t="shared" si="3"/>
        <v>0</v>
      </c>
      <c r="AP17" s="312">
        <f t="shared" si="3"/>
        <v>0</v>
      </c>
      <c r="AQ17" s="313">
        <f t="shared" si="3"/>
        <v>0</v>
      </c>
      <c r="AR17" s="311">
        <f>SUM(Tabla1[[#This Row],[COSTO OPERATIVO ACIDO]:[COSTO OPERATIVO CATIONICO]])</f>
        <v>432303.5</v>
      </c>
      <c r="AS17" s="311">
        <v>3599</v>
      </c>
      <c r="AT17" s="314">
        <f t="shared" si="4"/>
        <v>2701.8968749999999</v>
      </c>
      <c r="AU17" s="220">
        <f>IFERROR(Tabla1[[#This Row],[CAUDAL TOTAL TRATADO GEM ]]/Tabla1[[#This Row],[CAUDAL DE TRATAMIENTO]],0)</f>
        <v>2</v>
      </c>
    </row>
    <row r="18" spans="1:47" ht="15.75" thickBot="1" x14ac:dyDescent="0.3">
      <c r="A18" s="431">
        <f t="shared" ref="A18:A19" si="22">+A17</f>
        <v>46118</v>
      </c>
      <c r="B18" s="96">
        <v>6</v>
      </c>
      <c r="C18" s="213" t="s">
        <v>264</v>
      </c>
      <c r="D18" s="214">
        <v>17</v>
      </c>
      <c r="E18" s="214" t="s">
        <v>77</v>
      </c>
      <c r="F18" s="315">
        <v>2580</v>
      </c>
      <c r="G18" s="316">
        <v>9490</v>
      </c>
      <c r="H18" s="316">
        <v>4190</v>
      </c>
      <c r="I18" s="316">
        <f>+I17-0</f>
        <v>265</v>
      </c>
      <c r="J18" s="316">
        <f>+J17-0</f>
        <v>440</v>
      </c>
      <c r="K18" s="325">
        <v>17635</v>
      </c>
      <c r="L18" s="219">
        <f t="shared" si="0"/>
        <v>480</v>
      </c>
      <c r="M18" s="219">
        <v>80</v>
      </c>
      <c r="N18" s="300">
        <f t="shared" ref="N18:O81" si="23">F18-F19</f>
        <v>20</v>
      </c>
      <c r="O18" s="330">
        <f>G18-G19-150</f>
        <v>140</v>
      </c>
      <c r="P18" s="300">
        <f t="shared" ref="P18:R81" si="24">H18-H19</f>
        <v>40</v>
      </c>
      <c r="Q18" s="300">
        <f t="shared" si="2"/>
        <v>5</v>
      </c>
      <c r="R18" s="298">
        <f t="shared" si="2"/>
        <v>10</v>
      </c>
      <c r="S18" s="306">
        <f t="shared" si="6"/>
        <v>26</v>
      </c>
      <c r="T18" s="307">
        <f t="shared" si="7"/>
        <v>185.5</v>
      </c>
      <c r="U18" s="307">
        <f t="shared" si="8"/>
        <v>50</v>
      </c>
      <c r="V18" s="317">
        <f>Tabla1[[#This Row],[CONSUMO POL ANIONICO (KG)]]</f>
        <v>5</v>
      </c>
      <c r="W18" s="301">
        <f>Tabla1[[#This Row],[CONSUMO POL CATIONICO (KG)]]</f>
        <v>10</v>
      </c>
      <c r="X18" s="318">
        <f t="shared" si="9"/>
        <v>54.166666666666664</v>
      </c>
      <c r="Y18" s="317">
        <f t="shared" si="10"/>
        <v>386.45833333333331</v>
      </c>
      <c r="Z18" s="317">
        <f t="shared" si="11"/>
        <v>104.16666666666667</v>
      </c>
      <c r="AA18" s="317">
        <f t="shared" si="12"/>
        <v>10.416666666666666</v>
      </c>
      <c r="AB18" s="301">
        <f t="shared" si="13"/>
        <v>20.833333333333332</v>
      </c>
      <c r="AC18" s="308">
        <v>1.3</v>
      </c>
      <c r="AD18" s="308">
        <v>1.325</v>
      </c>
      <c r="AE18" s="308">
        <v>1.25</v>
      </c>
      <c r="AF18" s="309">
        <v>2500</v>
      </c>
      <c r="AG18" s="310">
        <v>2500</v>
      </c>
      <c r="AH18" s="97">
        <v>830</v>
      </c>
      <c r="AI18" s="97">
        <v>2818</v>
      </c>
      <c r="AJ18" s="97">
        <v>6295</v>
      </c>
      <c r="AK18" s="97">
        <v>19050</v>
      </c>
      <c r="AL18" s="97">
        <v>22050</v>
      </c>
      <c r="AM18" s="319">
        <f t="shared" ref="AM18:AQ68" si="25">S18*AH18</f>
        <v>21580</v>
      </c>
      <c r="AN18" s="314">
        <f t="shared" si="25"/>
        <v>522739</v>
      </c>
      <c r="AO18" s="314">
        <f t="shared" si="25"/>
        <v>314750</v>
      </c>
      <c r="AP18" s="314">
        <f t="shared" si="25"/>
        <v>95250</v>
      </c>
      <c r="AQ18" s="320">
        <f t="shared" si="25"/>
        <v>220500</v>
      </c>
      <c r="AR18" s="311">
        <f>SUM(Tabla1[[#This Row],[COSTO OPERATIVO ACIDO]:[COSTO OPERATIVO CATIONICO]])</f>
        <v>1174819</v>
      </c>
      <c r="AS18" s="319">
        <v>3599</v>
      </c>
      <c r="AT18" s="314">
        <f t="shared" si="4"/>
        <v>2447.5395833333332</v>
      </c>
      <c r="AU18" s="219">
        <f>IFERROR(Tabla1[[#This Row],[CAUDAL TOTAL TRATADO GEM ]]/Tabla1[[#This Row],[CAUDAL DE TRATAMIENTO]],0)</f>
        <v>6</v>
      </c>
    </row>
    <row r="19" spans="1:47" thickBot="1" x14ac:dyDescent="0.3">
      <c r="A19" s="432">
        <f t="shared" si="22"/>
        <v>46118</v>
      </c>
      <c r="B19" s="96">
        <v>6</v>
      </c>
      <c r="C19" s="215" t="s">
        <v>30</v>
      </c>
      <c r="D19" s="216">
        <v>18</v>
      </c>
      <c r="E19" s="216" t="s">
        <v>76</v>
      </c>
      <c r="F19" s="315">
        <v>2560</v>
      </c>
      <c r="G19" s="316">
        <v>9200</v>
      </c>
      <c r="H19" s="316">
        <v>4150</v>
      </c>
      <c r="I19" s="316">
        <f>+I18-5</f>
        <v>260</v>
      </c>
      <c r="J19" s="316">
        <f>+J18-10</f>
        <v>430</v>
      </c>
      <c r="K19" s="326">
        <v>17641</v>
      </c>
      <c r="L19" s="221">
        <f t="shared" si="0"/>
        <v>400</v>
      </c>
      <c r="M19" s="221">
        <v>80</v>
      </c>
      <c r="N19" s="302">
        <f t="shared" si="23"/>
        <v>110</v>
      </c>
      <c r="O19" s="329">
        <f t="shared" si="23"/>
        <v>180</v>
      </c>
      <c r="P19" s="302">
        <f t="shared" si="24"/>
        <v>30</v>
      </c>
      <c r="Q19" s="302">
        <f t="shared" si="2"/>
        <v>0</v>
      </c>
      <c r="R19" s="298">
        <f t="shared" si="2"/>
        <v>5</v>
      </c>
      <c r="S19" s="306">
        <f t="shared" si="6"/>
        <v>143</v>
      </c>
      <c r="T19" s="307">
        <f t="shared" si="7"/>
        <v>238.5</v>
      </c>
      <c r="U19" s="307">
        <f t="shared" si="8"/>
        <v>37.5</v>
      </c>
      <c r="V19" s="321">
        <f>Tabla1[[#This Row],[CONSUMO POL ANIONICO (KG)]]</f>
        <v>0</v>
      </c>
      <c r="W19" s="303">
        <f>Tabla1[[#This Row],[CONSUMO POL CATIONICO (KG)]]</f>
        <v>5</v>
      </c>
      <c r="X19" s="318">
        <f t="shared" si="9"/>
        <v>357.5</v>
      </c>
      <c r="Y19" s="321">
        <f t="shared" si="10"/>
        <v>596.25</v>
      </c>
      <c r="Z19" s="321">
        <f t="shared" si="11"/>
        <v>93.75</v>
      </c>
      <c r="AA19" s="321">
        <f t="shared" si="12"/>
        <v>0</v>
      </c>
      <c r="AB19" s="303">
        <f t="shared" si="13"/>
        <v>12.5</v>
      </c>
      <c r="AC19" s="308">
        <v>1.3</v>
      </c>
      <c r="AD19" s="308">
        <v>1.325</v>
      </c>
      <c r="AE19" s="308">
        <v>1.25</v>
      </c>
      <c r="AF19" s="309">
        <v>2500</v>
      </c>
      <c r="AG19" s="310">
        <v>2500</v>
      </c>
      <c r="AH19" s="97">
        <v>830</v>
      </c>
      <c r="AI19" s="97">
        <v>2818</v>
      </c>
      <c r="AJ19" s="97">
        <v>6295</v>
      </c>
      <c r="AK19" s="97">
        <v>19050</v>
      </c>
      <c r="AL19" s="97">
        <v>22050</v>
      </c>
      <c r="AM19" s="319">
        <f t="shared" si="25"/>
        <v>118690</v>
      </c>
      <c r="AN19" s="322">
        <f t="shared" si="25"/>
        <v>672093</v>
      </c>
      <c r="AO19" s="322">
        <f t="shared" si="25"/>
        <v>236062.5</v>
      </c>
      <c r="AP19" s="322">
        <f t="shared" si="25"/>
        <v>0</v>
      </c>
      <c r="AQ19" s="323">
        <f t="shared" si="25"/>
        <v>110250</v>
      </c>
      <c r="AR19" s="311">
        <f>SUM(Tabla1[[#This Row],[COSTO OPERATIVO ACIDO]:[COSTO OPERATIVO CATIONICO]])</f>
        <v>1137095.5</v>
      </c>
      <c r="AS19" s="319">
        <v>3599</v>
      </c>
      <c r="AT19" s="314">
        <f t="shared" si="4"/>
        <v>2842.73875</v>
      </c>
      <c r="AU19" s="221">
        <f>IFERROR(Tabla1[[#This Row],[CAUDAL TOTAL TRATADO GEM ]]/Tabla1[[#This Row],[CAUDAL DE TRATAMIENTO]],0)</f>
        <v>5</v>
      </c>
    </row>
    <row r="20" spans="1:47" thickBot="1" x14ac:dyDescent="0.3">
      <c r="A20" s="116">
        <f t="shared" ref="A20" si="26">+A19+1</f>
        <v>46119</v>
      </c>
      <c r="B20" s="96">
        <v>7</v>
      </c>
      <c r="C20" s="211" t="s">
        <v>265</v>
      </c>
      <c r="D20" s="212">
        <v>19</v>
      </c>
      <c r="E20" s="212" t="s">
        <v>75</v>
      </c>
      <c r="F20" s="304">
        <v>2450</v>
      </c>
      <c r="G20" s="305">
        <v>9020</v>
      </c>
      <c r="H20" s="305">
        <v>4120</v>
      </c>
      <c r="I20" s="305">
        <f>+I19-0</f>
        <v>260</v>
      </c>
      <c r="J20" s="305">
        <f>+J19-5</f>
        <v>425</v>
      </c>
      <c r="K20" s="324">
        <v>17646</v>
      </c>
      <c r="L20" s="220">
        <f t="shared" si="0"/>
        <v>498</v>
      </c>
      <c r="M20" s="220">
        <v>83</v>
      </c>
      <c r="N20" s="298">
        <f t="shared" si="23"/>
        <v>50</v>
      </c>
      <c r="O20" s="327">
        <f t="shared" si="23"/>
        <v>90</v>
      </c>
      <c r="P20" s="298">
        <f t="shared" si="24"/>
        <v>20</v>
      </c>
      <c r="Q20" s="298">
        <f t="shared" si="2"/>
        <v>0</v>
      </c>
      <c r="R20" s="298">
        <f t="shared" si="2"/>
        <v>0</v>
      </c>
      <c r="S20" s="306">
        <f t="shared" si="6"/>
        <v>65</v>
      </c>
      <c r="T20" s="307">
        <f t="shared" si="7"/>
        <v>119.25</v>
      </c>
      <c r="U20" s="307">
        <f t="shared" si="8"/>
        <v>25</v>
      </c>
      <c r="V20" s="307">
        <f>Tabla1[[#This Row],[CONSUMO POL ANIONICO (KG)]]</f>
        <v>0</v>
      </c>
      <c r="W20" s="299">
        <f>Tabla1[[#This Row],[CONSUMO POL CATIONICO (KG)]]</f>
        <v>0</v>
      </c>
      <c r="X20" s="306">
        <f t="shared" si="9"/>
        <v>130.52208835341366</v>
      </c>
      <c r="Y20" s="307">
        <f t="shared" si="10"/>
        <v>239.45783132530121</v>
      </c>
      <c r="Z20" s="307">
        <f t="shared" si="11"/>
        <v>50.200803212851405</v>
      </c>
      <c r="AA20" s="307">
        <f t="shared" si="12"/>
        <v>0</v>
      </c>
      <c r="AB20" s="299">
        <f t="shared" si="13"/>
        <v>0</v>
      </c>
      <c r="AC20" s="308">
        <v>1.3</v>
      </c>
      <c r="AD20" s="308">
        <v>1.325</v>
      </c>
      <c r="AE20" s="308">
        <v>1.25</v>
      </c>
      <c r="AF20" s="309">
        <v>2500</v>
      </c>
      <c r="AG20" s="310">
        <v>2500</v>
      </c>
      <c r="AH20" s="97">
        <v>830</v>
      </c>
      <c r="AI20" s="97">
        <v>2818</v>
      </c>
      <c r="AJ20" s="97">
        <v>6295</v>
      </c>
      <c r="AK20" s="97">
        <v>19050</v>
      </c>
      <c r="AL20" s="97">
        <v>22050</v>
      </c>
      <c r="AM20" s="311">
        <f t="shared" si="25"/>
        <v>53950</v>
      </c>
      <c r="AN20" s="312">
        <f t="shared" si="25"/>
        <v>336046.5</v>
      </c>
      <c r="AO20" s="312">
        <f t="shared" si="25"/>
        <v>157375</v>
      </c>
      <c r="AP20" s="312">
        <f t="shared" si="25"/>
        <v>0</v>
      </c>
      <c r="AQ20" s="313">
        <f t="shared" si="25"/>
        <v>0</v>
      </c>
      <c r="AR20" s="311">
        <f>SUM(Tabla1[[#This Row],[COSTO OPERATIVO ACIDO]:[COSTO OPERATIVO CATIONICO]])</f>
        <v>547371.5</v>
      </c>
      <c r="AS20" s="311">
        <v>3599</v>
      </c>
      <c r="AT20" s="314">
        <f t="shared" si="4"/>
        <v>1099.1395582329317</v>
      </c>
      <c r="AU20" s="220">
        <f>IFERROR(Tabla1[[#This Row],[CAUDAL TOTAL TRATADO GEM ]]/Tabla1[[#This Row],[CAUDAL DE TRATAMIENTO]],0)</f>
        <v>6</v>
      </c>
    </row>
    <row r="21" spans="1:47" s="98" customFormat="1" ht="15.75" thickBot="1" x14ac:dyDescent="0.3">
      <c r="A21" s="431">
        <f t="shared" ref="A21:A22" si="27">+A20</f>
        <v>46119</v>
      </c>
      <c r="B21" s="222">
        <v>7</v>
      </c>
      <c r="C21" s="223" t="s">
        <v>266</v>
      </c>
      <c r="D21" s="224">
        <v>20</v>
      </c>
      <c r="E21" s="224" t="s">
        <v>77</v>
      </c>
      <c r="F21" s="315">
        <v>2400</v>
      </c>
      <c r="G21" s="316">
        <v>8930</v>
      </c>
      <c r="H21" s="316">
        <v>4100</v>
      </c>
      <c r="I21" s="316">
        <f>+I20-0</f>
        <v>260</v>
      </c>
      <c r="J21" s="316">
        <f>+J20-0</f>
        <v>425</v>
      </c>
      <c r="K21" s="325">
        <v>17652</v>
      </c>
      <c r="L21" s="219">
        <f t="shared" si="0"/>
        <v>249</v>
      </c>
      <c r="M21" s="219">
        <v>83</v>
      </c>
      <c r="N21" s="300">
        <f t="shared" si="23"/>
        <v>0</v>
      </c>
      <c r="O21" s="328">
        <f t="shared" si="23"/>
        <v>170</v>
      </c>
      <c r="P21" s="300">
        <f t="shared" si="24"/>
        <v>30</v>
      </c>
      <c r="Q21" s="300">
        <f t="shared" si="2"/>
        <v>0</v>
      </c>
      <c r="R21" s="298">
        <f t="shared" si="2"/>
        <v>5</v>
      </c>
      <c r="S21" s="306">
        <f t="shared" si="6"/>
        <v>0</v>
      </c>
      <c r="T21" s="307">
        <f>(O21*$AD$2)</f>
        <v>225.25</v>
      </c>
      <c r="U21" s="307">
        <f t="shared" si="8"/>
        <v>37.5</v>
      </c>
      <c r="V21" s="317">
        <f>Tabla1[[#This Row],[CONSUMO POL ANIONICO (KG)]]</f>
        <v>0</v>
      </c>
      <c r="W21" s="301">
        <f>Tabla1[[#This Row],[CONSUMO POL CATIONICO (KG)]]</f>
        <v>5</v>
      </c>
      <c r="X21" s="318">
        <f t="shared" si="9"/>
        <v>0</v>
      </c>
      <c r="Y21" s="317">
        <f t="shared" si="10"/>
        <v>904.61847389558238</v>
      </c>
      <c r="Z21" s="317">
        <f t="shared" si="11"/>
        <v>150.60240963855421</v>
      </c>
      <c r="AA21" s="317">
        <f t="shared" si="12"/>
        <v>0</v>
      </c>
      <c r="AB21" s="301">
        <f t="shared" si="13"/>
        <v>20.080321285140563</v>
      </c>
      <c r="AC21" s="308">
        <v>1.3</v>
      </c>
      <c r="AD21" s="308">
        <v>1.325</v>
      </c>
      <c r="AE21" s="308">
        <v>1.25</v>
      </c>
      <c r="AF21" s="309">
        <v>2500</v>
      </c>
      <c r="AG21" s="310">
        <v>2500</v>
      </c>
      <c r="AH21" s="97">
        <v>830</v>
      </c>
      <c r="AI21" s="97">
        <v>2818</v>
      </c>
      <c r="AJ21" s="97">
        <v>6295</v>
      </c>
      <c r="AK21" s="97">
        <v>19050</v>
      </c>
      <c r="AL21" s="97">
        <v>22050</v>
      </c>
      <c r="AM21" s="319">
        <f t="shared" si="25"/>
        <v>0</v>
      </c>
      <c r="AN21" s="314">
        <f t="shared" si="25"/>
        <v>634754.5</v>
      </c>
      <c r="AO21" s="314">
        <f t="shared" si="25"/>
        <v>236062.5</v>
      </c>
      <c r="AP21" s="314">
        <f t="shared" si="25"/>
        <v>0</v>
      </c>
      <c r="AQ21" s="320">
        <f t="shared" si="25"/>
        <v>110250</v>
      </c>
      <c r="AR21" s="311">
        <f>SUM(Tabla1[[#This Row],[COSTO OPERATIVO ACIDO]:[COSTO OPERATIVO CATIONICO]])</f>
        <v>981067</v>
      </c>
      <c r="AS21" s="319">
        <v>3599</v>
      </c>
      <c r="AT21" s="314">
        <f t="shared" si="4"/>
        <v>3940.0281124497992</v>
      </c>
      <c r="AU21" s="219">
        <f>IFERROR(Tabla1[[#This Row],[CAUDAL TOTAL TRATADO GEM ]]/Tabla1[[#This Row],[CAUDAL DE TRATAMIENTO]],0)</f>
        <v>3</v>
      </c>
    </row>
    <row r="22" spans="1:47" s="98" customFormat="1" thickBot="1" x14ac:dyDescent="0.3">
      <c r="A22" s="432">
        <f t="shared" si="27"/>
        <v>46119</v>
      </c>
      <c r="B22" s="222">
        <v>7</v>
      </c>
      <c r="C22" s="225" t="s">
        <v>30</v>
      </c>
      <c r="D22" s="226">
        <v>21</v>
      </c>
      <c r="E22" s="226" t="s">
        <v>76</v>
      </c>
      <c r="F22" s="315">
        <v>2400</v>
      </c>
      <c r="G22" s="316">
        <v>8760</v>
      </c>
      <c r="H22" s="316">
        <v>4070</v>
      </c>
      <c r="I22" s="316">
        <f>+I21-0</f>
        <v>260</v>
      </c>
      <c r="J22" s="316">
        <f>+J21-5</f>
        <v>420</v>
      </c>
      <c r="K22" s="326">
        <v>17655</v>
      </c>
      <c r="L22" s="221">
        <f t="shared" si="0"/>
        <v>332</v>
      </c>
      <c r="M22" s="221">
        <v>83</v>
      </c>
      <c r="N22" s="302">
        <f t="shared" si="23"/>
        <v>100</v>
      </c>
      <c r="O22" s="575">
        <f>G22-G23-150</f>
        <v>160</v>
      </c>
      <c r="P22" s="302">
        <f t="shared" si="24"/>
        <v>70</v>
      </c>
      <c r="Q22" s="302">
        <f t="shared" si="2"/>
        <v>5</v>
      </c>
      <c r="R22" s="298">
        <f t="shared" si="2"/>
        <v>5</v>
      </c>
      <c r="S22" s="306">
        <f t="shared" si="6"/>
        <v>130</v>
      </c>
      <c r="T22" s="307">
        <f t="shared" si="7"/>
        <v>212</v>
      </c>
      <c r="U22" s="307">
        <f t="shared" si="8"/>
        <v>87.5</v>
      </c>
      <c r="V22" s="321">
        <f>Tabla1[[#This Row],[CONSUMO POL ANIONICO (KG)]]</f>
        <v>5</v>
      </c>
      <c r="W22" s="303">
        <f>Tabla1[[#This Row],[CONSUMO POL CATIONICO (KG)]]</f>
        <v>5</v>
      </c>
      <c r="X22" s="318">
        <f t="shared" si="9"/>
        <v>391.56626506024094</v>
      </c>
      <c r="Y22" s="321">
        <f t="shared" si="10"/>
        <v>638.5542168674699</v>
      </c>
      <c r="Z22" s="321">
        <f t="shared" si="11"/>
        <v>263.5542168674699</v>
      </c>
      <c r="AA22" s="321">
        <f t="shared" si="12"/>
        <v>15.060240963855422</v>
      </c>
      <c r="AB22" s="303">
        <f t="shared" si="13"/>
        <v>15.060240963855422</v>
      </c>
      <c r="AC22" s="308">
        <v>1.3</v>
      </c>
      <c r="AD22" s="308">
        <v>1.325</v>
      </c>
      <c r="AE22" s="308">
        <v>1.25</v>
      </c>
      <c r="AF22" s="309">
        <v>2500</v>
      </c>
      <c r="AG22" s="310">
        <v>2500</v>
      </c>
      <c r="AH22" s="97">
        <v>830</v>
      </c>
      <c r="AI22" s="97">
        <v>2818</v>
      </c>
      <c r="AJ22" s="97">
        <v>6295</v>
      </c>
      <c r="AK22" s="97">
        <v>19050</v>
      </c>
      <c r="AL22" s="97">
        <v>22050</v>
      </c>
      <c r="AM22" s="319">
        <f t="shared" si="25"/>
        <v>107900</v>
      </c>
      <c r="AN22" s="322">
        <f t="shared" si="25"/>
        <v>597416</v>
      </c>
      <c r="AO22" s="322">
        <f t="shared" si="25"/>
        <v>550812.5</v>
      </c>
      <c r="AP22" s="322">
        <f t="shared" si="25"/>
        <v>95250</v>
      </c>
      <c r="AQ22" s="323">
        <f t="shared" si="25"/>
        <v>110250</v>
      </c>
      <c r="AR22" s="311">
        <f>SUM(Tabla1[[#This Row],[COSTO OPERATIVO ACIDO]:[COSTO OPERATIVO CATIONICO]])</f>
        <v>1461628.5</v>
      </c>
      <c r="AS22" s="319">
        <v>3599</v>
      </c>
      <c r="AT22" s="314">
        <f t="shared" si="4"/>
        <v>4402.4954819277109</v>
      </c>
      <c r="AU22" s="221">
        <f>IFERROR(Tabla1[[#This Row],[CAUDAL TOTAL TRATADO GEM ]]/Tabla1[[#This Row],[CAUDAL DE TRATAMIENTO]],0)</f>
        <v>4</v>
      </c>
    </row>
    <row r="23" spans="1:47" s="98" customFormat="1" thickBot="1" x14ac:dyDescent="0.3">
      <c r="A23" s="116">
        <f t="shared" ref="A23" si="28">+A22+1</f>
        <v>46120</v>
      </c>
      <c r="B23" s="222">
        <v>8</v>
      </c>
      <c r="C23" s="227" t="s">
        <v>267</v>
      </c>
      <c r="D23" s="228">
        <v>22</v>
      </c>
      <c r="E23" s="228" t="s">
        <v>75</v>
      </c>
      <c r="F23" s="304">
        <v>2300</v>
      </c>
      <c r="G23" s="305">
        <v>8450</v>
      </c>
      <c r="H23" s="305">
        <v>4000</v>
      </c>
      <c r="I23" s="305">
        <f>+I22-5</f>
        <v>255</v>
      </c>
      <c r="J23" s="305">
        <f>+J22-5</f>
        <v>415</v>
      </c>
      <c r="K23" s="324">
        <v>17659</v>
      </c>
      <c r="L23" s="220">
        <f t="shared" si="0"/>
        <v>400</v>
      </c>
      <c r="M23" s="220">
        <v>80</v>
      </c>
      <c r="N23" s="298">
        <f t="shared" si="23"/>
        <v>150</v>
      </c>
      <c r="O23" s="327">
        <f t="shared" si="23"/>
        <v>110</v>
      </c>
      <c r="P23" s="298">
        <f t="shared" si="24"/>
        <v>60</v>
      </c>
      <c r="Q23" s="298">
        <f t="shared" si="2"/>
        <v>0</v>
      </c>
      <c r="R23" s="298">
        <f t="shared" si="2"/>
        <v>0</v>
      </c>
      <c r="S23" s="306">
        <f t="shared" si="6"/>
        <v>195</v>
      </c>
      <c r="T23" s="307">
        <f t="shared" si="7"/>
        <v>145.75</v>
      </c>
      <c r="U23" s="307">
        <f t="shared" si="8"/>
        <v>75</v>
      </c>
      <c r="V23" s="307">
        <f>Tabla1[[#This Row],[CONSUMO POL ANIONICO (KG)]]</f>
        <v>0</v>
      </c>
      <c r="W23" s="299">
        <f>Tabla1[[#This Row],[CONSUMO POL CATIONICO (KG)]]</f>
        <v>0</v>
      </c>
      <c r="X23" s="306">
        <f t="shared" si="9"/>
        <v>487.5</v>
      </c>
      <c r="Y23" s="307">
        <f t="shared" si="10"/>
        <v>364.375</v>
      </c>
      <c r="Z23" s="307">
        <f t="shared" si="11"/>
        <v>187.5</v>
      </c>
      <c r="AA23" s="307">
        <f t="shared" si="12"/>
        <v>0</v>
      </c>
      <c r="AB23" s="299">
        <f t="shared" si="13"/>
        <v>0</v>
      </c>
      <c r="AC23" s="308">
        <v>1.3</v>
      </c>
      <c r="AD23" s="308">
        <v>1.325</v>
      </c>
      <c r="AE23" s="308">
        <v>1.25</v>
      </c>
      <c r="AF23" s="309">
        <v>2500</v>
      </c>
      <c r="AG23" s="310">
        <v>2500</v>
      </c>
      <c r="AH23" s="97">
        <v>830</v>
      </c>
      <c r="AI23" s="97">
        <v>2818</v>
      </c>
      <c r="AJ23" s="97">
        <v>6295</v>
      </c>
      <c r="AK23" s="97">
        <v>19050</v>
      </c>
      <c r="AL23" s="97">
        <v>22050</v>
      </c>
      <c r="AM23" s="311">
        <f t="shared" si="25"/>
        <v>161850</v>
      </c>
      <c r="AN23" s="312">
        <f t="shared" si="25"/>
        <v>410723.5</v>
      </c>
      <c r="AO23" s="312">
        <f t="shared" si="25"/>
        <v>472125</v>
      </c>
      <c r="AP23" s="312">
        <f t="shared" si="25"/>
        <v>0</v>
      </c>
      <c r="AQ23" s="313">
        <f t="shared" si="25"/>
        <v>0</v>
      </c>
      <c r="AR23" s="311">
        <f>SUM(Tabla1[[#This Row],[COSTO OPERATIVO ACIDO]:[COSTO OPERATIVO CATIONICO]])</f>
        <v>1044698.5</v>
      </c>
      <c r="AS23" s="311">
        <v>3599</v>
      </c>
      <c r="AT23" s="314">
        <f t="shared" si="4"/>
        <v>2611.7462500000001</v>
      </c>
      <c r="AU23" s="220">
        <f>IFERROR(Tabla1[[#This Row],[CAUDAL TOTAL TRATADO GEM ]]/Tabla1[[#This Row],[CAUDAL DE TRATAMIENTO]],0)</f>
        <v>5</v>
      </c>
    </row>
    <row r="24" spans="1:47" s="98" customFormat="1" ht="15.75" thickBot="1" x14ac:dyDescent="0.3">
      <c r="A24" s="431">
        <f t="shared" ref="A24:A25" si="29">+A23</f>
        <v>46120</v>
      </c>
      <c r="B24" s="222">
        <v>8</v>
      </c>
      <c r="C24" s="223" t="s">
        <v>268</v>
      </c>
      <c r="D24" s="224">
        <v>23</v>
      </c>
      <c r="E24" s="224" t="s">
        <v>77</v>
      </c>
      <c r="F24" s="315">
        <v>2150</v>
      </c>
      <c r="G24" s="316">
        <f>+AVERAGE(G23,G25)</f>
        <v>8340</v>
      </c>
      <c r="H24" s="316">
        <v>3940</v>
      </c>
      <c r="I24" s="316">
        <f>+I23-0</f>
        <v>255</v>
      </c>
      <c r="J24" s="316">
        <f>J23-0</f>
        <v>415</v>
      </c>
      <c r="K24" s="325">
        <v>17664</v>
      </c>
      <c r="L24" s="219">
        <f t="shared" si="0"/>
        <v>240</v>
      </c>
      <c r="M24" s="219">
        <v>80</v>
      </c>
      <c r="N24" s="576">
        <f>F24-F25+2000</f>
        <v>130</v>
      </c>
      <c r="O24" s="328">
        <f t="shared" si="23"/>
        <v>110</v>
      </c>
      <c r="P24" s="576">
        <f>H24-H25+1000</f>
        <v>10</v>
      </c>
      <c r="Q24" s="300">
        <f t="shared" si="2"/>
        <v>0</v>
      </c>
      <c r="R24" s="298">
        <f t="shared" si="2"/>
        <v>5</v>
      </c>
      <c r="S24" s="306">
        <f t="shared" si="6"/>
        <v>169</v>
      </c>
      <c r="T24" s="307">
        <f t="shared" si="7"/>
        <v>145.75</v>
      </c>
      <c r="U24" s="307">
        <f t="shared" si="8"/>
        <v>12.5</v>
      </c>
      <c r="V24" s="317">
        <f>Tabla1[[#This Row],[CONSUMO POL ANIONICO (KG)]]</f>
        <v>0</v>
      </c>
      <c r="W24" s="301">
        <f>Tabla1[[#This Row],[CONSUMO POL CATIONICO (KG)]]</f>
        <v>5</v>
      </c>
      <c r="X24" s="318">
        <f t="shared" si="9"/>
        <v>704.16666666666663</v>
      </c>
      <c r="Y24" s="317">
        <f t="shared" si="10"/>
        <v>607.29166666666663</v>
      </c>
      <c r="Z24" s="317">
        <f t="shared" si="11"/>
        <v>52.083333333333336</v>
      </c>
      <c r="AA24" s="317">
        <f t="shared" si="12"/>
        <v>0</v>
      </c>
      <c r="AB24" s="301">
        <f t="shared" si="13"/>
        <v>20.833333333333332</v>
      </c>
      <c r="AC24" s="308">
        <v>1.3</v>
      </c>
      <c r="AD24" s="308">
        <v>1.325</v>
      </c>
      <c r="AE24" s="308">
        <v>1.25</v>
      </c>
      <c r="AF24" s="309">
        <v>2500</v>
      </c>
      <c r="AG24" s="310">
        <v>2500</v>
      </c>
      <c r="AH24" s="97">
        <v>830</v>
      </c>
      <c r="AI24" s="97">
        <v>2818</v>
      </c>
      <c r="AJ24" s="97">
        <v>6295</v>
      </c>
      <c r="AK24" s="97">
        <v>19050</v>
      </c>
      <c r="AL24" s="97">
        <v>22050</v>
      </c>
      <c r="AM24" s="319">
        <f t="shared" si="25"/>
        <v>140270</v>
      </c>
      <c r="AN24" s="314">
        <f t="shared" si="25"/>
        <v>410723.5</v>
      </c>
      <c r="AO24" s="314">
        <f t="shared" si="25"/>
        <v>78687.5</v>
      </c>
      <c r="AP24" s="314">
        <f t="shared" si="25"/>
        <v>0</v>
      </c>
      <c r="AQ24" s="320">
        <f t="shared" si="25"/>
        <v>110250</v>
      </c>
      <c r="AR24" s="311">
        <f>SUM(Tabla1[[#This Row],[COSTO OPERATIVO ACIDO]:[COSTO OPERATIVO CATIONICO]])</f>
        <v>739931</v>
      </c>
      <c r="AS24" s="319">
        <v>3599</v>
      </c>
      <c r="AT24" s="314">
        <f t="shared" si="4"/>
        <v>3083.0458333333331</v>
      </c>
      <c r="AU24" s="219">
        <f>IFERROR(Tabla1[[#This Row],[CAUDAL TOTAL TRATADO GEM ]]/Tabla1[[#This Row],[CAUDAL DE TRATAMIENTO]],0)</f>
        <v>3</v>
      </c>
    </row>
    <row r="25" spans="1:47" s="98" customFormat="1" thickBot="1" x14ac:dyDescent="0.3">
      <c r="A25" s="432">
        <f t="shared" si="29"/>
        <v>46120</v>
      </c>
      <c r="B25" s="222">
        <v>8</v>
      </c>
      <c r="C25" s="225" t="s">
        <v>30</v>
      </c>
      <c r="D25" s="226">
        <v>24</v>
      </c>
      <c r="E25" s="226" t="s">
        <v>76</v>
      </c>
      <c r="F25" s="315">
        <v>4020</v>
      </c>
      <c r="G25" s="316">
        <v>8230</v>
      </c>
      <c r="H25" s="316">
        <v>4930</v>
      </c>
      <c r="I25" s="316">
        <f>+I24-0</f>
        <v>255</v>
      </c>
      <c r="J25" s="316">
        <f t="shared" ref="J25:J30" si="30">+J24-5</f>
        <v>410</v>
      </c>
      <c r="K25" s="326">
        <v>17667</v>
      </c>
      <c r="L25" s="221">
        <f t="shared" si="0"/>
        <v>560</v>
      </c>
      <c r="M25" s="221">
        <v>80</v>
      </c>
      <c r="N25" s="302">
        <f t="shared" si="23"/>
        <v>90</v>
      </c>
      <c r="O25" s="329">
        <f t="shared" si="23"/>
        <v>120</v>
      </c>
      <c r="P25" s="302">
        <f t="shared" si="24"/>
        <v>30</v>
      </c>
      <c r="Q25" s="302">
        <f t="shared" si="2"/>
        <v>5</v>
      </c>
      <c r="R25" s="298">
        <f t="shared" si="2"/>
        <v>5</v>
      </c>
      <c r="S25" s="306">
        <f t="shared" si="6"/>
        <v>117</v>
      </c>
      <c r="T25" s="307">
        <f t="shared" si="7"/>
        <v>159</v>
      </c>
      <c r="U25" s="307">
        <f t="shared" si="8"/>
        <v>37.5</v>
      </c>
      <c r="V25" s="321">
        <f>Tabla1[[#This Row],[CONSUMO POL ANIONICO (KG)]]</f>
        <v>5</v>
      </c>
      <c r="W25" s="303">
        <f>Tabla1[[#This Row],[CONSUMO POL CATIONICO (KG)]]</f>
        <v>5</v>
      </c>
      <c r="X25" s="318">
        <f t="shared" si="9"/>
        <v>208.92857142857142</v>
      </c>
      <c r="Y25" s="321">
        <f t="shared" si="10"/>
        <v>283.92857142857144</v>
      </c>
      <c r="Z25" s="321">
        <f t="shared" si="11"/>
        <v>66.964285714285708</v>
      </c>
      <c r="AA25" s="321">
        <f t="shared" si="12"/>
        <v>8.9285714285714288</v>
      </c>
      <c r="AB25" s="303">
        <f t="shared" si="13"/>
        <v>8.9285714285714288</v>
      </c>
      <c r="AC25" s="308">
        <v>1.3</v>
      </c>
      <c r="AD25" s="308">
        <v>1.325</v>
      </c>
      <c r="AE25" s="308">
        <v>1.25</v>
      </c>
      <c r="AF25" s="309">
        <v>2500</v>
      </c>
      <c r="AG25" s="310">
        <v>2500</v>
      </c>
      <c r="AH25" s="97">
        <v>830</v>
      </c>
      <c r="AI25" s="97">
        <v>2818</v>
      </c>
      <c r="AJ25" s="97">
        <v>6295</v>
      </c>
      <c r="AK25" s="97">
        <v>19050</v>
      </c>
      <c r="AL25" s="97">
        <v>22050</v>
      </c>
      <c r="AM25" s="319">
        <f t="shared" si="25"/>
        <v>97110</v>
      </c>
      <c r="AN25" s="322">
        <f t="shared" si="25"/>
        <v>448062</v>
      </c>
      <c r="AO25" s="322">
        <f t="shared" si="25"/>
        <v>236062.5</v>
      </c>
      <c r="AP25" s="322">
        <f t="shared" si="25"/>
        <v>95250</v>
      </c>
      <c r="AQ25" s="323">
        <f t="shared" si="25"/>
        <v>110250</v>
      </c>
      <c r="AR25" s="311">
        <f>SUM(Tabla1[[#This Row],[COSTO OPERATIVO ACIDO]:[COSTO OPERATIVO CATIONICO]])</f>
        <v>986734.5</v>
      </c>
      <c r="AS25" s="319">
        <v>3599</v>
      </c>
      <c r="AT25" s="314">
        <f t="shared" si="4"/>
        <v>1762.0258928571429</v>
      </c>
      <c r="AU25" s="221">
        <f>IFERROR(Tabla1[[#This Row],[CAUDAL TOTAL TRATADO GEM ]]/Tabla1[[#This Row],[CAUDAL DE TRATAMIENTO]],0)</f>
        <v>7</v>
      </c>
    </row>
    <row r="26" spans="1:47" s="98" customFormat="1" thickBot="1" x14ac:dyDescent="0.3">
      <c r="A26" s="116">
        <f t="shared" ref="A26" si="31">+A25+1</f>
        <v>46121</v>
      </c>
      <c r="B26" s="222">
        <v>9</v>
      </c>
      <c r="C26" s="227" t="s">
        <v>269</v>
      </c>
      <c r="D26" s="228">
        <v>25</v>
      </c>
      <c r="E26" s="228" t="s">
        <v>75</v>
      </c>
      <c r="F26" s="304">
        <v>3930</v>
      </c>
      <c r="G26" s="305">
        <v>8110</v>
      </c>
      <c r="H26" s="305">
        <v>4900</v>
      </c>
      <c r="I26" s="305">
        <f>+I25-5</f>
        <v>250</v>
      </c>
      <c r="J26" s="305">
        <f t="shared" si="30"/>
        <v>405</v>
      </c>
      <c r="K26" s="324">
        <v>17674</v>
      </c>
      <c r="L26" s="220">
        <f t="shared" si="0"/>
        <v>560</v>
      </c>
      <c r="M26" s="220">
        <v>80</v>
      </c>
      <c r="N26" s="298">
        <f t="shared" si="23"/>
        <v>70</v>
      </c>
      <c r="O26" s="327">
        <f t="shared" si="23"/>
        <v>100</v>
      </c>
      <c r="P26" s="298">
        <f t="shared" si="24"/>
        <v>10</v>
      </c>
      <c r="Q26" s="298">
        <f t="shared" si="2"/>
        <v>5</v>
      </c>
      <c r="R26" s="298">
        <f t="shared" si="2"/>
        <v>5</v>
      </c>
      <c r="S26" s="306">
        <f t="shared" si="6"/>
        <v>91</v>
      </c>
      <c r="T26" s="307">
        <f t="shared" si="7"/>
        <v>132.5</v>
      </c>
      <c r="U26" s="307">
        <f t="shared" si="8"/>
        <v>12.5</v>
      </c>
      <c r="V26" s="307">
        <f>Tabla1[[#This Row],[CONSUMO POL ANIONICO (KG)]]</f>
        <v>5</v>
      </c>
      <c r="W26" s="299">
        <f>Tabla1[[#This Row],[CONSUMO POL CATIONICO (KG)]]</f>
        <v>5</v>
      </c>
      <c r="X26" s="306">
        <f t="shared" si="9"/>
        <v>162.5</v>
      </c>
      <c r="Y26" s="307">
        <f t="shared" si="10"/>
        <v>236.60714285714286</v>
      </c>
      <c r="Z26" s="307">
        <f t="shared" si="11"/>
        <v>22.321428571428573</v>
      </c>
      <c r="AA26" s="307">
        <f t="shared" si="12"/>
        <v>8.9285714285714288</v>
      </c>
      <c r="AB26" s="299">
        <f t="shared" si="13"/>
        <v>8.9285714285714288</v>
      </c>
      <c r="AC26" s="308">
        <v>1.3</v>
      </c>
      <c r="AD26" s="308">
        <v>1.325</v>
      </c>
      <c r="AE26" s="308">
        <v>1.25</v>
      </c>
      <c r="AF26" s="309">
        <v>2500</v>
      </c>
      <c r="AG26" s="310">
        <v>2500</v>
      </c>
      <c r="AH26" s="97">
        <v>830</v>
      </c>
      <c r="AI26" s="97">
        <v>2818</v>
      </c>
      <c r="AJ26" s="97">
        <v>6295</v>
      </c>
      <c r="AK26" s="97">
        <v>19050</v>
      </c>
      <c r="AL26" s="97">
        <v>22050</v>
      </c>
      <c r="AM26" s="311">
        <f t="shared" si="25"/>
        <v>75530</v>
      </c>
      <c r="AN26" s="312">
        <f t="shared" si="25"/>
        <v>373385</v>
      </c>
      <c r="AO26" s="312">
        <f t="shared" si="25"/>
        <v>78687.5</v>
      </c>
      <c r="AP26" s="312">
        <f t="shared" si="25"/>
        <v>95250</v>
      </c>
      <c r="AQ26" s="313">
        <f t="shared" si="25"/>
        <v>110250</v>
      </c>
      <c r="AR26" s="311">
        <f>SUM(Tabla1[[#This Row],[COSTO OPERATIVO ACIDO]:[COSTO OPERATIVO CATIONICO]])</f>
        <v>733102.5</v>
      </c>
      <c r="AS26" s="311">
        <v>3599</v>
      </c>
      <c r="AT26" s="314">
        <f t="shared" si="4"/>
        <v>1309.1116071428571</v>
      </c>
      <c r="AU26" s="220">
        <f>IFERROR(Tabla1[[#This Row],[CAUDAL TOTAL TRATADO GEM ]]/Tabla1[[#This Row],[CAUDAL DE TRATAMIENTO]],0)</f>
        <v>7</v>
      </c>
    </row>
    <row r="27" spans="1:47" s="229" customFormat="1" ht="15.75" thickBot="1" x14ac:dyDescent="0.3">
      <c r="A27" s="431">
        <f t="shared" ref="A27:A28" si="32">+A26</f>
        <v>46121</v>
      </c>
      <c r="B27" s="222">
        <v>9</v>
      </c>
      <c r="C27" s="223" t="s">
        <v>270</v>
      </c>
      <c r="D27" s="224">
        <v>26</v>
      </c>
      <c r="E27" s="224" t="s">
        <v>77</v>
      </c>
      <c r="F27" s="315">
        <v>3860</v>
      </c>
      <c r="G27" s="316">
        <v>8010</v>
      </c>
      <c r="H27" s="316">
        <v>4890</v>
      </c>
      <c r="I27" s="316">
        <f>+I26-5</f>
        <v>245</v>
      </c>
      <c r="J27" s="316">
        <f t="shared" si="30"/>
        <v>400</v>
      </c>
      <c r="K27" s="325">
        <v>17681</v>
      </c>
      <c r="L27" s="219">
        <f t="shared" si="0"/>
        <v>240</v>
      </c>
      <c r="M27" s="219">
        <v>80</v>
      </c>
      <c r="N27" s="300">
        <f t="shared" si="23"/>
        <v>160</v>
      </c>
      <c r="O27" s="330">
        <f>G27-G28-50</f>
        <v>60</v>
      </c>
      <c r="P27" s="300">
        <f t="shared" si="24"/>
        <v>30</v>
      </c>
      <c r="Q27" s="300">
        <f t="shared" si="2"/>
        <v>5</v>
      </c>
      <c r="R27" s="298">
        <f t="shared" si="2"/>
        <v>5</v>
      </c>
      <c r="S27" s="306">
        <f t="shared" si="6"/>
        <v>208</v>
      </c>
      <c r="T27" s="307">
        <f t="shared" si="7"/>
        <v>79.5</v>
      </c>
      <c r="U27" s="307">
        <f t="shared" si="8"/>
        <v>37.5</v>
      </c>
      <c r="V27" s="317">
        <f>Tabla1[[#This Row],[CONSUMO POL ANIONICO (KG)]]</f>
        <v>5</v>
      </c>
      <c r="W27" s="301">
        <f>Tabla1[[#This Row],[CONSUMO POL CATIONICO (KG)]]</f>
        <v>5</v>
      </c>
      <c r="X27" s="318">
        <f t="shared" si="9"/>
        <v>866.66666666666663</v>
      </c>
      <c r="Y27" s="317">
        <f t="shared" si="10"/>
        <v>331.25</v>
      </c>
      <c r="Z27" s="317">
        <f t="shared" si="11"/>
        <v>156.25</v>
      </c>
      <c r="AA27" s="317">
        <f t="shared" si="12"/>
        <v>20.833333333333332</v>
      </c>
      <c r="AB27" s="301">
        <f t="shared" si="13"/>
        <v>20.833333333333332</v>
      </c>
      <c r="AC27" s="308">
        <v>1.3</v>
      </c>
      <c r="AD27" s="308">
        <v>1.325</v>
      </c>
      <c r="AE27" s="308">
        <v>1.25</v>
      </c>
      <c r="AF27" s="309">
        <v>2500</v>
      </c>
      <c r="AG27" s="310">
        <v>2500</v>
      </c>
      <c r="AH27" s="97">
        <v>830</v>
      </c>
      <c r="AI27" s="97">
        <v>2818</v>
      </c>
      <c r="AJ27" s="97">
        <v>6295</v>
      </c>
      <c r="AK27" s="97">
        <v>19050</v>
      </c>
      <c r="AL27" s="97">
        <v>22050</v>
      </c>
      <c r="AM27" s="319">
        <f t="shared" si="25"/>
        <v>172640</v>
      </c>
      <c r="AN27" s="314">
        <f t="shared" si="25"/>
        <v>224031</v>
      </c>
      <c r="AO27" s="314">
        <f t="shared" si="25"/>
        <v>236062.5</v>
      </c>
      <c r="AP27" s="314">
        <f t="shared" si="25"/>
        <v>95250</v>
      </c>
      <c r="AQ27" s="320">
        <f t="shared" si="25"/>
        <v>110250</v>
      </c>
      <c r="AR27" s="311">
        <f>SUM(Tabla1[[#This Row],[COSTO OPERATIVO ACIDO]:[COSTO OPERATIVO CATIONICO]])</f>
        <v>838233.5</v>
      </c>
      <c r="AS27" s="319">
        <v>3599</v>
      </c>
      <c r="AT27" s="314">
        <f t="shared" si="4"/>
        <v>3492.6395833333331</v>
      </c>
      <c r="AU27" s="220">
        <f>IFERROR(Tabla1[[#This Row],[CAUDAL TOTAL TRATADO GEM ]]/Tabla1[[#This Row],[CAUDAL DE TRATAMIENTO]],0)</f>
        <v>3</v>
      </c>
    </row>
    <row r="28" spans="1:47" s="229" customFormat="1" thickBot="1" x14ac:dyDescent="0.3">
      <c r="A28" s="432">
        <f t="shared" si="32"/>
        <v>46121</v>
      </c>
      <c r="B28" s="222">
        <v>9</v>
      </c>
      <c r="C28" s="225" t="s">
        <v>30</v>
      </c>
      <c r="D28" s="226">
        <v>27</v>
      </c>
      <c r="E28" s="226" t="s">
        <v>76</v>
      </c>
      <c r="F28" s="315">
        <v>3700</v>
      </c>
      <c r="G28" s="316">
        <v>7900</v>
      </c>
      <c r="H28" s="316">
        <v>4860</v>
      </c>
      <c r="I28" s="316">
        <f>+I27-5</f>
        <v>240</v>
      </c>
      <c r="J28" s="316">
        <f t="shared" si="30"/>
        <v>395</v>
      </c>
      <c r="K28" s="326">
        <v>17684</v>
      </c>
      <c r="L28" s="221">
        <f t="shared" si="0"/>
        <v>480</v>
      </c>
      <c r="M28" s="221">
        <v>80</v>
      </c>
      <c r="N28" s="302">
        <f t="shared" si="23"/>
        <v>200</v>
      </c>
      <c r="O28" s="575">
        <f>G28-G29-50</f>
        <v>50</v>
      </c>
      <c r="P28" s="302">
        <f t="shared" si="24"/>
        <v>30</v>
      </c>
      <c r="Q28" s="302">
        <f t="shared" si="2"/>
        <v>0</v>
      </c>
      <c r="R28" s="298">
        <f t="shared" si="2"/>
        <v>5</v>
      </c>
      <c r="S28" s="306">
        <f t="shared" si="6"/>
        <v>260</v>
      </c>
      <c r="T28" s="307">
        <f t="shared" si="7"/>
        <v>66.25</v>
      </c>
      <c r="U28" s="307">
        <f t="shared" si="8"/>
        <v>37.5</v>
      </c>
      <c r="V28" s="321">
        <f>Tabla1[[#This Row],[CONSUMO POL ANIONICO (KG)]]</f>
        <v>0</v>
      </c>
      <c r="W28" s="303">
        <f>Tabla1[[#This Row],[CONSUMO POL CATIONICO (KG)]]</f>
        <v>5</v>
      </c>
      <c r="X28" s="318">
        <f t="shared" si="9"/>
        <v>541.66666666666663</v>
      </c>
      <c r="Y28" s="321">
        <f t="shared" si="10"/>
        <v>138.02083333333334</v>
      </c>
      <c r="Z28" s="321">
        <f t="shared" si="11"/>
        <v>78.125</v>
      </c>
      <c r="AA28" s="321">
        <f t="shared" si="12"/>
        <v>0</v>
      </c>
      <c r="AB28" s="303">
        <f t="shared" si="13"/>
        <v>10.416666666666666</v>
      </c>
      <c r="AC28" s="308">
        <v>1.3</v>
      </c>
      <c r="AD28" s="308">
        <v>1.325</v>
      </c>
      <c r="AE28" s="308">
        <v>1.25</v>
      </c>
      <c r="AF28" s="309">
        <v>2500</v>
      </c>
      <c r="AG28" s="310">
        <v>2500</v>
      </c>
      <c r="AH28" s="97">
        <v>830</v>
      </c>
      <c r="AI28" s="97">
        <v>2818</v>
      </c>
      <c r="AJ28" s="97">
        <v>6295</v>
      </c>
      <c r="AK28" s="97">
        <v>19050</v>
      </c>
      <c r="AL28" s="97">
        <v>22050</v>
      </c>
      <c r="AM28" s="319">
        <f t="shared" si="25"/>
        <v>215800</v>
      </c>
      <c r="AN28" s="322">
        <f t="shared" si="25"/>
        <v>186692.5</v>
      </c>
      <c r="AO28" s="322">
        <f t="shared" si="25"/>
        <v>236062.5</v>
      </c>
      <c r="AP28" s="322">
        <f t="shared" si="25"/>
        <v>0</v>
      </c>
      <c r="AQ28" s="323">
        <f t="shared" si="25"/>
        <v>110250</v>
      </c>
      <c r="AR28" s="311">
        <f>SUM(Tabla1[[#This Row],[COSTO OPERATIVO ACIDO]:[COSTO OPERATIVO CATIONICO]])</f>
        <v>748805</v>
      </c>
      <c r="AS28" s="319">
        <v>3599</v>
      </c>
      <c r="AT28" s="314">
        <f t="shared" si="4"/>
        <v>1560.0104166666667</v>
      </c>
      <c r="AU28" s="220">
        <f>IFERROR(Tabla1[[#This Row],[CAUDAL TOTAL TRATADO GEM ]]/Tabla1[[#This Row],[CAUDAL DE TRATAMIENTO]],0)</f>
        <v>6</v>
      </c>
    </row>
    <row r="29" spans="1:47" s="229" customFormat="1" thickBot="1" x14ac:dyDescent="0.3">
      <c r="A29" s="116">
        <f t="shared" ref="A29" si="33">+A28+1</f>
        <v>46122</v>
      </c>
      <c r="B29" s="222">
        <v>10</v>
      </c>
      <c r="C29" s="227" t="s">
        <v>271</v>
      </c>
      <c r="D29" s="228">
        <v>28</v>
      </c>
      <c r="E29" s="228" t="s">
        <v>75</v>
      </c>
      <c r="F29" s="304">
        <v>3500</v>
      </c>
      <c r="G29" s="305">
        <v>7800</v>
      </c>
      <c r="H29" s="305">
        <v>4830</v>
      </c>
      <c r="I29" s="305">
        <f>+I28-0</f>
        <v>240</v>
      </c>
      <c r="J29" s="305">
        <f t="shared" si="30"/>
        <v>390</v>
      </c>
      <c r="K29" s="324">
        <v>17690</v>
      </c>
      <c r="L29" s="220">
        <f t="shared" si="0"/>
        <v>480</v>
      </c>
      <c r="M29" s="220">
        <v>80</v>
      </c>
      <c r="N29" s="298">
        <f t="shared" si="23"/>
        <v>10</v>
      </c>
      <c r="O29" s="327">
        <f t="shared" si="23"/>
        <v>10</v>
      </c>
      <c r="P29" s="298">
        <f t="shared" si="24"/>
        <v>60</v>
      </c>
      <c r="Q29" s="298">
        <f t="shared" si="2"/>
        <v>5</v>
      </c>
      <c r="R29" s="298">
        <f t="shared" si="2"/>
        <v>5</v>
      </c>
      <c r="S29" s="306">
        <f t="shared" si="6"/>
        <v>13</v>
      </c>
      <c r="T29" s="307">
        <f t="shared" si="7"/>
        <v>13.25</v>
      </c>
      <c r="U29" s="307">
        <f t="shared" si="8"/>
        <v>75</v>
      </c>
      <c r="V29" s="307">
        <f>Tabla1[[#This Row],[CONSUMO POL ANIONICO (KG)]]</f>
        <v>5</v>
      </c>
      <c r="W29" s="299">
        <f>Tabla1[[#This Row],[CONSUMO POL CATIONICO (KG)]]</f>
        <v>5</v>
      </c>
      <c r="X29" s="306">
        <f t="shared" si="9"/>
        <v>27.083333333333332</v>
      </c>
      <c r="Y29" s="307">
        <f t="shared" si="10"/>
        <v>27.604166666666668</v>
      </c>
      <c r="Z29" s="307">
        <f t="shared" si="11"/>
        <v>156.25</v>
      </c>
      <c r="AA29" s="307">
        <f t="shared" si="12"/>
        <v>10.416666666666666</v>
      </c>
      <c r="AB29" s="299">
        <f t="shared" si="13"/>
        <v>10.416666666666666</v>
      </c>
      <c r="AC29" s="308">
        <v>1.3</v>
      </c>
      <c r="AD29" s="308">
        <v>1.325</v>
      </c>
      <c r="AE29" s="308">
        <v>1.25</v>
      </c>
      <c r="AF29" s="309">
        <v>2500</v>
      </c>
      <c r="AG29" s="310">
        <v>2500</v>
      </c>
      <c r="AH29" s="97">
        <v>830</v>
      </c>
      <c r="AI29" s="97">
        <v>2818</v>
      </c>
      <c r="AJ29" s="97">
        <v>6295</v>
      </c>
      <c r="AK29" s="97">
        <v>19050</v>
      </c>
      <c r="AL29" s="97">
        <v>22050</v>
      </c>
      <c r="AM29" s="311">
        <f t="shared" si="25"/>
        <v>10790</v>
      </c>
      <c r="AN29" s="312">
        <f t="shared" si="25"/>
        <v>37338.5</v>
      </c>
      <c r="AO29" s="312">
        <f t="shared" si="25"/>
        <v>472125</v>
      </c>
      <c r="AP29" s="312">
        <f t="shared" si="25"/>
        <v>95250</v>
      </c>
      <c r="AQ29" s="313">
        <f t="shared" si="25"/>
        <v>110250</v>
      </c>
      <c r="AR29" s="311">
        <f>SUM(Tabla1[[#This Row],[COSTO OPERATIVO ACIDO]:[COSTO OPERATIVO CATIONICO]])</f>
        <v>725753.5</v>
      </c>
      <c r="AS29" s="311">
        <v>3599</v>
      </c>
      <c r="AT29" s="314">
        <f t="shared" si="4"/>
        <v>1511.9864583333333</v>
      </c>
      <c r="AU29" s="220">
        <f>IFERROR(Tabla1[[#This Row],[CAUDAL TOTAL TRATADO GEM ]]/Tabla1[[#This Row],[CAUDAL DE TRATAMIENTO]],0)</f>
        <v>6</v>
      </c>
    </row>
    <row r="30" spans="1:47" s="229" customFormat="1" ht="15.75" thickBot="1" x14ac:dyDescent="0.3">
      <c r="A30" s="431">
        <f t="shared" ref="A30:A31" si="34">+A29</f>
        <v>46122</v>
      </c>
      <c r="B30" s="222">
        <v>10</v>
      </c>
      <c r="C30" s="223" t="s">
        <v>272</v>
      </c>
      <c r="D30" s="224">
        <v>29</v>
      </c>
      <c r="E30" s="224" t="s">
        <v>77</v>
      </c>
      <c r="F30" s="315">
        <v>3490</v>
      </c>
      <c r="G30" s="316">
        <v>7790</v>
      </c>
      <c r="H30" s="316">
        <v>4770</v>
      </c>
      <c r="I30" s="316">
        <f>+I29-5</f>
        <v>235</v>
      </c>
      <c r="J30" s="316">
        <f t="shared" si="30"/>
        <v>385</v>
      </c>
      <c r="K30" s="325">
        <v>17696</v>
      </c>
      <c r="L30" s="219">
        <f t="shared" si="0"/>
        <v>400</v>
      </c>
      <c r="M30" s="219">
        <v>80</v>
      </c>
      <c r="N30" s="662">
        <f>F30-F31-70</f>
        <v>80</v>
      </c>
      <c r="O30" s="328">
        <f t="shared" si="23"/>
        <v>190</v>
      </c>
      <c r="P30" s="300">
        <f t="shared" si="24"/>
        <v>20</v>
      </c>
      <c r="Q30" s="300">
        <f t="shared" si="2"/>
        <v>0</v>
      </c>
      <c r="R30" s="298">
        <f t="shared" si="2"/>
        <v>5</v>
      </c>
      <c r="S30" s="306">
        <f t="shared" si="6"/>
        <v>104</v>
      </c>
      <c r="T30" s="307">
        <f t="shared" si="7"/>
        <v>251.75</v>
      </c>
      <c r="U30" s="307">
        <f t="shared" si="8"/>
        <v>25</v>
      </c>
      <c r="V30" s="317">
        <f>Tabla1[[#This Row],[CONSUMO POL ANIONICO (KG)]]</f>
        <v>0</v>
      </c>
      <c r="W30" s="301">
        <f>Tabla1[[#This Row],[CONSUMO POL CATIONICO (KG)]]</f>
        <v>5</v>
      </c>
      <c r="X30" s="318">
        <f t="shared" si="9"/>
        <v>260</v>
      </c>
      <c r="Y30" s="317">
        <f t="shared" si="10"/>
        <v>629.375</v>
      </c>
      <c r="Z30" s="317">
        <f t="shared" si="11"/>
        <v>62.5</v>
      </c>
      <c r="AA30" s="317">
        <f t="shared" si="12"/>
        <v>0</v>
      </c>
      <c r="AB30" s="301">
        <f t="shared" si="13"/>
        <v>12.5</v>
      </c>
      <c r="AC30" s="308">
        <v>1.3</v>
      </c>
      <c r="AD30" s="308">
        <v>1.325</v>
      </c>
      <c r="AE30" s="308">
        <v>1.25</v>
      </c>
      <c r="AF30" s="309">
        <v>2500</v>
      </c>
      <c r="AG30" s="310">
        <v>2500</v>
      </c>
      <c r="AH30" s="97">
        <v>830</v>
      </c>
      <c r="AI30" s="97">
        <v>2818</v>
      </c>
      <c r="AJ30" s="97">
        <v>6295</v>
      </c>
      <c r="AK30" s="97">
        <v>19050</v>
      </c>
      <c r="AL30" s="97">
        <v>22050</v>
      </c>
      <c r="AM30" s="319">
        <f t="shared" si="25"/>
        <v>86320</v>
      </c>
      <c r="AN30" s="314">
        <f t="shared" si="25"/>
        <v>709431.5</v>
      </c>
      <c r="AO30" s="314">
        <f t="shared" si="25"/>
        <v>157375</v>
      </c>
      <c r="AP30" s="314">
        <f t="shared" si="25"/>
        <v>0</v>
      </c>
      <c r="AQ30" s="320">
        <f t="shared" si="25"/>
        <v>110250</v>
      </c>
      <c r="AR30" s="311">
        <f>SUM(Tabla1[[#This Row],[COSTO OPERATIVO ACIDO]:[COSTO OPERATIVO CATIONICO]])</f>
        <v>1063376.5</v>
      </c>
      <c r="AS30" s="319">
        <v>3599</v>
      </c>
      <c r="AT30" s="314">
        <f t="shared" si="4"/>
        <v>2658.4412499999999</v>
      </c>
      <c r="AU30" s="220">
        <f>IFERROR(Tabla1[[#This Row],[CAUDAL TOTAL TRATADO GEM ]]/Tabla1[[#This Row],[CAUDAL DE TRATAMIENTO]],0)</f>
        <v>5</v>
      </c>
    </row>
    <row r="31" spans="1:47" s="229" customFormat="1" thickBot="1" x14ac:dyDescent="0.3">
      <c r="A31" s="432">
        <f t="shared" si="34"/>
        <v>46122</v>
      </c>
      <c r="B31" s="222">
        <v>10</v>
      </c>
      <c r="C31" s="225" t="s">
        <v>30</v>
      </c>
      <c r="D31" s="226">
        <v>30</v>
      </c>
      <c r="E31" s="226" t="s">
        <v>76</v>
      </c>
      <c r="F31" s="315">
        <v>3340</v>
      </c>
      <c r="G31" s="316">
        <v>7600</v>
      </c>
      <c r="H31" s="316">
        <v>4750</v>
      </c>
      <c r="I31" s="316">
        <f>+I30-0</f>
        <v>235</v>
      </c>
      <c r="J31" s="316">
        <f>+J30-5</f>
        <v>380</v>
      </c>
      <c r="K31" s="326">
        <v>17701</v>
      </c>
      <c r="L31" s="221">
        <f t="shared" si="0"/>
        <v>640</v>
      </c>
      <c r="M31" s="221">
        <v>80</v>
      </c>
      <c r="N31" s="302">
        <f t="shared" si="23"/>
        <v>110</v>
      </c>
      <c r="O31" s="575">
        <f>G31-G32-210</f>
        <v>220</v>
      </c>
      <c r="P31" s="302">
        <f t="shared" si="24"/>
        <v>60</v>
      </c>
      <c r="Q31" s="302">
        <f t="shared" si="2"/>
        <v>5</v>
      </c>
      <c r="R31" s="298">
        <f t="shared" si="2"/>
        <v>5</v>
      </c>
      <c r="S31" s="306">
        <f t="shared" si="6"/>
        <v>143</v>
      </c>
      <c r="T31" s="307">
        <f t="shared" si="7"/>
        <v>291.5</v>
      </c>
      <c r="U31" s="307">
        <f t="shared" si="8"/>
        <v>75</v>
      </c>
      <c r="V31" s="321">
        <f>Tabla1[[#This Row],[CONSUMO POL ANIONICO (KG)]]</f>
        <v>5</v>
      </c>
      <c r="W31" s="303">
        <f>Tabla1[[#This Row],[CONSUMO POL CATIONICO (KG)]]</f>
        <v>5</v>
      </c>
      <c r="X31" s="318">
        <f t="shared" si="9"/>
        <v>223.4375</v>
      </c>
      <c r="Y31" s="321">
        <f t="shared" si="10"/>
        <v>455.46875</v>
      </c>
      <c r="Z31" s="321">
        <f t="shared" si="11"/>
        <v>117.1875</v>
      </c>
      <c r="AA31" s="321">
        <f t="shared" si="12"/>
        <v>7.8125</v>
      </c>
      <c r="AB31" s="303">
        <f t="shared" si="13"/>
        <v>7.8125</v>
      </c>
      <c r="AC31" s="308">
        <v>1.3</v>
      </c>
      <c r="AD31" s="308">
        <v>1.325</v>
      </c>
      <c r="AE31" s="308">
        <v>1.25</v>
      </c>
      <c r="AF31" s="309">
        <v>2500</v>
      </c>
      <c r="AG31" s="310">
        <v>2500</v>
      </c>
      <c r="AH31" s="97">
        <v>830</v>
      </c>
      <c r="AI31" s="97">
        <v>2818</v>
      </c>
      <c r="AJ31" s="97">
        <v>6295</v>
      </c>
      <c r="AK31" s="97">
        <v>19050</v>
      </c>
      <c r="AL31" s="97">
        <v>22050</v>
      </c>
      <c r="AM31" s="319">
        <f t="shared" si="25"/>
        <v>118690</v>
      </c>
      <c r="AN31" s="322">
        <f t="shared" si="25"/>
        <v>821447</v>
      </c>
      <c r="AO31" s="322">
        <f t="shared" si="25"/>
        <v>472125</v>
      </c>
      <c r="AP31" s="322">
        <f t="shared" si="25"/>
        <v>95250</v>
      </c>
      <c r="AQ31" s="323">
        <f t="shared" si="25"/>
        <v>110250</v>
      </c>
      <c r="AR31" s="311">
        <f>SUM(Tabla1[[#This Row],[COSTO OPERATIVO ACIDO]:[COSTO OPERATIVO CATIONICO]])</f>
        <v>1617762</v>
      </c>
      <c r="AS31" s="319">
        <v>3599</v>
      </c>
      <c r="AT31" s="314">
        <f t="shared" si="4"/>
        <v>2527.7531250000002</v>
      </c>
      <c r="AU31" s="220">
        <f>IFERROR(Tabla1[[#This Row],[CAUDAL TOTAL TRATADO GEM ]]/Tabla1[[#This Row],[CAUDAL DE TRATAMIENTO]],0)</f>
        <v>8</v>
      </c>
    </row>
    <row r="32" spans="1:47" s="229" customFormat="1" thickBot="1" x14ac:dyDescent="0.3">
      <c r="A32" s="116">
        <f t="shared" ref="A32" si="35">+A31+1</f>
        <v>46123</v>
      </c>
      <c r="B32" s="222">
        <v>11</v>
      </c>
      <c r="C32" s="227" t="s">
        <v>273</v>
      </c>
      <c r="D32" s="228">
        <v>31</v>
      </c>
      <c r="E32" s="228" t="s">
        <v>75</v>
      </c>
      <c r="F32" s="304">
        <v>3230</v>
      </c>
      <c r="G32" s="305">
        <v>7170</v>
      </c>
      <c r="H32" s="305">
        <v>4690</v>
      </c>
      <c r="I32" s="305">
        <f>+I31-5</f>
        <v>230</v>
      </c>
      <c r="J32" s="305">
        <f>+J31-5</f>
        <v>375</v>
      </c>
      <c r="K32" s="324">
        <v>17709</v>
      </c>
      <c r="L32" s="220">
        <f t="shared" si="0"/>
        <v>400</v>
      </c>
      <c r="M32" s="220">
        <v>80</v>
      </c>
      <c r="N32" s="298">
        <f t="shared" si="23"/>
        <v>110</v>
      </c>
      <c r="O32" s="327">
        <f t="shared" si="23"/>
        <v>100</v>
      </c>
      <c r="P32" s="298">
        <f t="shared" si="24"/>
        <v>90</v>
      </c>
      <c r="Q32" s="298">
        <f t="shared" si="2"/>
        <v>0</v>
      </c>
      <c r="R32" s="298">
        <f t="shared" si="2"/>
        <v>5</v>
      </c>
      <c r="S32" s="306">
        <f t="shared" si="6"/>
        <v>143</v>
      </c>
      <c r="T32" s="307">
        <f t="shared" si="7"/>
        <v>132.5</v>
      </c>
      <c r="U32" s="307">
        <f t="shared" si="8"/>
        <v>112.5</v>
      </c>
      <c r="V32" s="307">
        <f>Tabla1[[#This Row],[CONSUMO POL ANIONICO (KG)]]</f>
        <v>0</v>
      </c>
      <c r="W32" s="299">
        <f>Tabla1[[#This Row],[CONSUMO POL CATIONICO (KG)]]</f>
        <v>5</v>
      </c>
      <c r="X32" s="306">
        <f t="shared" si="9"/>
        <v>357.5</v>
      </c>
      <c r="Y32" s="307">
        <f t="shared" si="10"/>
        <v>331.25</v>
      </c>
      <c r="Z32" s="307">
        <f t="shared" si="11"/>
        <v>281.25</v>
      </c>
      <c r="AA32" s="307">
        <f t="shared" si="12"/>
        <v>0</v>
      </c>
      <c r="AB32" s="299">
        <f t="shared" si="13"/>
        <v>12.5</v>
      </c>
      <c r="AC32" s="308">
        <v>1.3</v>
      </c>
      <c r="AD32" s="308">
        <v>1.325</v>
      </c>
      <c r="AE32" s="308">
        <v>1.25</v>
      </c>
      <c r="AF32" s="309">
        <v>2500</v>
      </c>
      <c r="AG32" s="310">
        <v>2500</v>
      </c>
      <c r="AH32" s="97">
        <v>830</v>
      </c>
      <c r="AI32" s="97">
        <v>2818</v>
      </c>
      <c r="AJ32" s="97">
        <v>6295</v>
      </c>
      <c r="AK32" s="97">
        <v>19050</v>
      </c>
      <c r="AL32" s="97">
        <v>22050</v>
      </c>
      <c r="AM32" s="311">
        <f t="shared" si="25"/>
        <v>118690</v>
      </c>
      <c r="AN32" s="312">
        <f t="shared" si="25"/>
        <v>373385</v>
      </c>
      <c r="AO32" s="312">
        <f t="shared" si="25"/>
        <v>708187.5</v>
      </c>
      <c r="AP32" s="312">
        <f t="shared" si="25"/>
        <v>0</v>
      </c>
      <c r="AQ32" s="313">
        <f t="shared" si="25"/>
        <v>110250</v>
      </c>
      <c r="AR32" s="311">
        <f>SUM(Tabla1[[#This Row],[COSTO OPERATIVO ACIDO]:[COSTO OPERATIVO CATIONICO]])</f>
        <v>1310512.5</v>
      </c>
      <c r="AS32" s="311">
        <v>3599</v>
      </c>
      <c r="AT32" s="314">
        <f t="shared" si="4"/>
        <v>3276.28125</v>
      </c>
      <c r="AU32" s="220">
        <f>IFERROR(Tabla1[[#This Row],[CAUDAL TOTAL TRATADO GEM ]]/Tabla1[[#This Row],[CAUDAL DE TRATAMIENTO]],0)</f>
        <v>5</v>
      </c>
    </row>
    <row r="33" spans="1:47" s="229" customFormat="1" ht="15.75" thickBot="1" x14ac:dyDescent="0.3">
      <c r="A33" s="431">
        <f t="shared" ref="A33:A34" si="36">+A32</f>
        <v>46123</v>
      </c>
      <c r="B33" s="222">
        <v>11</v>
      </c>
      <c r="C33" s="223" t="s">
        <v>274</v>
      </c>
      <c r="D33" s="224">
        <v>32</v>
      </c>
      <c r="E33" s="224" t="s">
        <v>77</v>
      </c>
      <c r="F33" s="315">
        <v>3120</v>
      </c>
      <c r="G33" s="316">
        <v>7070</v>
      </c>
      <c r="H33" s="316">
        <v>4600</v>
      </c>
      <c r="I33" s="316">
        <f t="shared" ref="I33:I39" si="37">+I32-0</f>
        <v>230</v>
      </c>
      <c r="J33" s="316">
        <f>+J32-5</f>
        <v>370</v>
      </c>
      <c r="K33" s="325">
        <v>17714</v>
      </c>
      <c r="L33" s="219">
        <f t="shared" si="0"/>
        <v>320</v>
      </c>
      <c r="M33" s="219">
        <v>80</v>
      </c>
      <c r="N33" s="300">
        <f t="shared" si="23"/>
        <v>20</v>
      </c>
      <c r="O33" s="328">
        <f t="shared" si="23"/>
        <v>170</v>
      </c>
      <c r="P33" s="300">
        <f t="shared" si="24"/>
        <v>50</v>
      </c>
      <c r="Q33" s="300">
        <f t="shared" si="2"/>
        <v>0</v>
      </c>
      <c r="R33" s="298">
        <f t="shared" si="2"/>
        <v>0</v>
      </c>
      <c r="S33" s="306">
        <f t="shared" si="6"/>
        <v>26</v>
      </c>
      <c r="T33" s="307">
        <f t="shared" si="7"/>
        <v>225.25</v>
      </c>
      <c r="U33" s="307">
        <f t="shared" si="8"/>
        <v>62.5</v>
      </c>
      <c r="V33" s="317">
        <f>Tabla1[[#This Row],[CONSUMO POL ANIONICO (KG)]]</f>
        <v>0</v>
      </c>
      <c r="W33" s="301">
        <f>Tabla1[[#This Row],[CONSUMO POL CATIONICO (KG)]]</f>
        <v>0</v>
      </c>
      <c r="X33" s="318">
        <f t="shared" si="9"/>
        <v>81.25</v>
      </c>
      <c r="Y33" s="317">
        <f t="shared" si="10"/>
        <v>703.90625</v>
      </c>
      <c r="Z33" s="317">
        <f t="shared" si="11"/>
        <v>195.3125</v>
      </c>
      <c r="AA33" s="317">
        <f t="shared" si="12"/>
        <v>0</v>
      </c>
      <c r="AB33" s="301">
        <f t="shared" si="13"/>
        <v>0</v>
      </c>
      <c r="AC33" s="308">
        <v>1.3</v>
      </c>
      <c r="AD33" s="308">
        <v>1.325</v>
      </c>
      <c r="AE33" s="308">
        <v>1.25</v>
      </c>
      <c r="AF33" s="309">
        <v>2500</v>
      </c>
      <c r="AG33" s="310">
        <v>2500</v>
      </c>
      <c r="AH33" s="97">
        <v>830</v>
      </c>
      <c r="AI33" s="97">
        <v>2818</v>
      </c>
      <c r="AJ33" s="97">
        <v>6295</v>
      </c>
      <c r="AK33" s="97">
        <v>19050</v>
      </c>
      <c r="AL33" s="97">
        <v>22050</v>
      </c>
      <c r="AM33" s="319">
        <f t="shared" si="25"/>
        <v>21580</v>
      </c>
      <c r="AN33" s="314">
        <f t="shared" si="25"/>
        <v>634754.5</v>
      </c>
      <c r="AO33" s="314">
        <f t="shared" si="25"/>
        <v>393437.5</v>
      </c>
      <c r="AP33" s="314">
        <f t="shared" si="25"/>
        <v>0</v>
      </c>
      <c r="AQ33" s="320">
        <f t="shared" si="25"/>
        <v>0</v>
      </c>
      <c r="AR33" s="311">
        <f>SUM(Tabla1[[#This Row],[COSTO OPERATIVO ACIDO]:[COSTO OPERATIVO CATIONICO]])</f>
        <v>1049772</v>
      </c>
      <c r="AS33" s="319">
        <v>3599</v>
      </c>
      <c r="AT33" s="314">
        <f t="shared" si="4"/>
        <v>3280.5374999999999</v>
      </c>
      <c r="AU33" s="220">
        <f>IFERROR(Tabla1[[#This Row],[CAUDAL TOTAL TRATADO GEM ]]/Tabla1[[#This Row],[CAUDAL DE TRATAMIENTO]],0)</f>
        <v>4</v>
      </c>
    </row>
    <row r="34" spans="1:47" s="229" customFormat="1" thickBot="1" x14ac:dyDescent="0.3">
      <c r="A34" s="432">
        <f t="shared" si="36"/>
        <v>46123</v>
      </c>
      <c r="B34" s="222">
        <v>11</v>
      </c>
      <c r="C34" s="225" t="s">
        <v>30</v>
      </c>
      <c r="D34" s="226">
        <v>33</v>
      </c>
      <c r="E34" s="226" t="s">
        <v>76</v>
      </c>
      <c r="F34" s="315">
        <v>3100</v>
      </c>
      <c r="G34" s="316">
        <v>6900</v>
      </c>
      <c r="H34" s="316">
        <v>4550</v>
      </c>
      <c r="I34" s="316">
        <f t="shared" si="37"/>
        <v>230</v>
      </c>
      <c r="J34" s="316">
        <f>+J33-0</f>
        <v>370</v>
      </c>
      <c r="K34" s="326">
        <v>17718</v>
      </c>
      <c r="L34" s="221">
        <f t="shared" ref="L34:L65" si="38">(K35-K34)*M34</f>
        <v>320</v>
      </c>
      <c r="M34" s="221">
        <v>80</v>
      </c>
      <c r="N34" s="302">
        <f t="shared" si="23"/>
        <v>50</v>
      </c>
      <c r="O34" s="329">
        <f t="shared" si="23"/>
        <v>100</v>
      </c>
      <c r="P34" s="302">
        <f t="shared" si="24"/>
        <v>50</v>
      </c>
      <c r="Q34" s="302">
        <f t="shared" si="24"/>
        <v>0</v>
      </c>
      <c r="R34" s="298">
        <f t="shared" si="24"/>
        <v>5</v>
      </c>
      <c r="S34" s="306">
        <f t="shared" si="6"/>
        <v>65</v>
      </c>
      <c r="T34" s="307">
        <f t="shared" si="7"/>
        <v>132.5</v>
      </c>
      <c r="U34" s="307">
        <f t="shared" si="8"/>
        <v>62.5</v>
      </c>
      <c r="V34" s="321">
        <f>Tabla1[[#This Row],[CONSUMO POL ANIONICO (KG)]]</f>
        <v>0</v>
      </c>
      <c r="W34" s="303">
        <f>Tabla1[[#This Row],[CONSUMO POL CATIONICO (KG)]]</f>
        <v>5</v>
      </c>
      <c r="X34" s="318">
        <f t="shared" si="9"/>
        <v>203.125</v>
      </c>
      <c r="Y34" s="321">
        <f t="shared" si="10"/>
        <v>414.0625</v>
      </c>
      <c r="Z34" s="321">
        <f t="shared" si="11"/>
        <v>195.3125</v>
      </c>
      <c r="AA34" s="321">
        <f t="shared" si="12"/>
        <v>0</v>
      </c>
      <c r="AB34" s="303">
        <f t="shared" si="13"/>
        <v>15.625</v>
      </c>
      <c r="AC34" s="308">
        <v>1.3</v>
      </c>
      <c r="AD34" s="308">
        <v>1.325</v>
      </c>
      <c r="AE34" s="308">
        <v>1.25</v>
      </c>
      <c r="AF34" s="309">
        <v>2500</v>
      </c>
      <c r="AG34" s="310">
        <v>2500</v>
      </c>
      <c r="AH34" s="97">
        <v>830</v>
      </c>
      <c r="AI34" s="97">
        <v>2818</v>
      </c>
      <c r="AJ34" s="97">
        <v>6295</v>
      </c>
      <c r="AK34" s="97">
        <v>19050</v>
      </c>
      <c r="AL34" s="97">
        <v>22050</v>
      </c>
      <c r="AM34" s="319">
        <f t="shared" si="25"/>
        <v>53950</v>
      </c>
      <c r="AN34" s="322">
        <f t="shared" si="25"/>
        <v>373385</v>
      </c>
      <c r="AO34" s="322">
        <f t="shared" si="25"/>
        <v>393437.5</v>
      </c>
      <c r="AP34" s="322">
        <f t="shared" si="25"/>
        <v>0</v>
      </c>
      <c r="AQ34" s="323">
        <f t="shared" si="25"/>
        <v>110250</v>
      </c>
      <c r="AR34" s="311">
        <f>SUM(Tabla1[[#This Row],[COSTO OPERATIVO ACIDO]:[COSTO OPERATIVO CATIONICO]])</f>
        <v>931022.5</v>
      </c>
      <c r="AS34" s="319">
        <v>3599</v>
      </c>
      <c r="AT34" s="314">
        <f t="shared" ref="AT34:AT65" si="39">AR34/L34</f>
        <v>2909.4453125</v>
      </c>
      <c r="AU34" s="220">
        <f>IFERROR(Tabla1[[#This Row],[CAUDAL TOTAL TRATADO GEM ]]/Tabla1[[#This Row],[CAUDAL DE TRATAMIENTO]],0)</f>
        <v>4</v>
      </c>
    </row>
    <row r="35" spans="1:47" s="229" customFormat="1" thickBot="1" x14ac:dyDescent="0.3">
      <c r="A35" s="116">
        <f t="shared" ref="A35" si="40">+A34+1</f>
        <v>46124</v>
      </c>
      <c r="B35" s="222">
        <v>12</v>
      </c>
      <c r="C35" s="227" t="s">
        <v>275</v>
      </c>
      <c r="D35" s="228">
        <v>34</v>
      </c>
      <c r="E35" s="228" t="s">
        <v>75</v>
      </c>
      <c r="F35" s="304">
        <v>3050</v>
      </c>
      <c r="G35" s="305">
        <v>6800</v>
      </c>
      <c r="H35" s="305">
        <v>4500</v>
      </c>
      <c r="I35" s="305">
        <f t="shared" si="37"/>
        <v>230</v>
      </c>
      <c r="J35" s="305">
        <f>+J34-5</f>
        <v>365</v>
      </c>
      <c r="K35" s="324">
        <v>17722</v>
      </c>
      <c r="L35" s="220">
        <f t="shared" si="38"/>
        <v>0</v>
      </c>
      <c r="M35" s="220">
        <v>80</v>
      </c>
      <c r="N35" s="298">
        <f t="shared" si="23"/>
        <v>0</v>
      </c>
      <c r="O35" s="327">
        <f t="shared" si="23"/>
        <v>0</v>
      </c>
      <c r="P35" s="298">
        <f t="shared" si="24"/>
        <v>0</v>
      </c>
      <c r="Q35" s="298">
        <f t="shared" si="24"/>
        <v>0</v>
      </c>
      <c r="R35" s="298">
        <f t="shared" si="24"/>
        <v>0</v>
      </c>
      <c r="S35" s="306">
        <f t="shared" si="6"/>
        <v>0</v>
      </c>
      <c r="T35" s="307">
        <f t="shared" si="7"/>
        <v>0</v>
      </c>
      <c r="U35" s="307">
        <f t="shared" si="8"/>
        <v>0</v>
      </c>
      <c r="V35" s="307">
        <f>Tabla1[[#This Row],[CONSUMO POL ANIONICO (KG)]]</f>
        <v>0</v>
      </c>
      <c r="W35" s="299">
        <f>Tabla1[[#This Row],[CONSUMO POL CATIONICO (KG)]]</f>
        <v>0</v>
      </c>
      <c r="X35" s="306" t="e">
        <f t="shared" si="9"/>
        <v>#DIV/0!</v>
      </c>
      <c r="Y35" s="307" t="e">
        <f t="shared" si="10"/>
        <v>#DIV/0!</v>
      </c>
      <c r="Z35" s="307" t="e">
        <f t="shared" si="11"/>
        <v>#DIV/0!</v>
      </c>
      <c r="AA35" s="307" t="e">
        <f t="shared" si="12"/>
        <v>#DIV/0!</v>
      </c>
      <c r="AB35" s="299" t="e">
        <f t="shared" si="13"/>
        <v>#DIV/0!</v>
      </c>
      <c r="AC35" s="308">
        <v>1.3</v>
      </c>
      <c r="AD35" s="308">
        <v>1.325</v>
      </c>
      <c r="AE35" s="308">
        <v>1.25</v>
      </c>
      <c r="AF35" s="309">
        <v>2500</v>
      </c>
      <c r="AG35" s="310">
        <v>2500</v>
      </c>
      <c r="AH35" s="97">
        <v>830</v>
      </c>
      <c r="AI35" s="97">
        <v>2818</v>
      </c>
      <c r="AJ35" s="97">
        <v>6295</v>
      </c>
      <c r="AK35" s="97">
        <v>19050</v>
      </c>
      <c r="AL35" s="97">
        <v>22050</v>
      </c>
      <c r="AM35" s="311">
        <f t="shared" si="25"/>
        <v>0</v>
      </c>
      <c r="AN35" s="312">
        <f t="shared" si="25"/>
        <v>0</v>
      </c>
      <c r="AO35" s="312">
        <f t="shared" si="25"/>
        <v>0</v>
      </c>
      <c r="AP35" s="312">
        <f t="shared" si="25"/>
        <v>0</v>
      </c>
      <c r="AQ35" s="313">
        <f t="shared" si="25"/>
        <v>0</v>
      </c>
      <c r="AR35" s="311">
        <f>SUM(Tabla1[[#This Row],[COSTO OPERATIVO ACIDO]:[COSTO OPERATIVO CATIONICO]])</f>
        <v>0</v>
      </c>
      <c r="AS35" s="311">
        <v>3599</v>
      </c>
      <c r="AT35" s="314" t="e">
        <f t="shared" si="39"/>
        <v>#DIV/0!</v>
      </c>
      <c r="AU35" s="220">
        <f>IFERROR(Tabla1[[#This Row],[CAUDAL TOTAL TRATADO GEM ]]/Tabla1[[#This Row],[CAUDAL DE TRATAMIENTO]],0)</f>
        <v>0</v>
      </c>
    </row>
    <row r="36" spans="1:47" s="229" customFormat="1" ht="15.75" thickBot="1" x14ac:dyDescent="0.3">
      <c r="A36" s="431">
        <f t="shared" ref="A36:A37" si="41">+A35</f>
        <v>46124</v>
      </c>
      <c r="B36" s="222">
        <v>12</v>
      </c>
      <c r="C36" s="223" t="s">
        <v>276</v>
      </c>
      <c r="D36" s="224">
        <v>35</v>
      </c>
      <c r="E36" s="224" t="s">
        <v>77</v>
      </c>
      <c r="F36" s="315">
        <v>3050</v>
      </c>
      <c r="G36" s="316">
        <v>6800</v>
      </c>
      <c r="H36" s="316">
        <v>4500</v>
      </c>
      <c r="I36" s="316">
        <f t="shared" si="37"/>
        <v>230</v>
      </c>
      <c r="J36" s="316">
        <f>+J35-0</f>
        <v>365</v>
      </c>
      <c r="K36" s="325">
        <v>17722</v>
      </c>
      <c r="L36" s="219">
        <f t="shared" si="38"/>
        <v>0</v>
      </c>
      <c r="M36" s="219">
        <v>80</v>
      </c>
      <c r="N36" s="300">
        <f t="shared" si="23"/>
        <v>0</v>
      </c>
      <c r="O36" s="328">
        <f t="shared" si="23"/>
        <v>0</v>
      </c>
      <c r="P36" s="300">
        <f t="shared" si="24"/>
        <v>0</v>
      </c>
      <c r="Q36" s="300">
        <f t="shared" si="24"/>
        <v>0</v>
      </c>
      <c r="R36" s="298">
        <f t="shared" si="24"/>
        <v>0</v>
      </c>
      <c r="S36" s="306">
        <f t="shared" si="6"/>
        <v>0</v>
      </c>
      <c r="T36" s="307">
        <f t="shared" si="7"/>
        <v>0</v>
      </c>
      <c r="U36" s="307">
        <f t="shared" si="8"/>
        <v>0</v>
      </c>
      <c r="V36" s="317">
        <f>Tabla1[[#This Row],[CONSUMO POL ANIONICO (KG)]]</f>
        <v>0</v>
      </c>
      <c r="W36" s="301">
        <f>Tabla1[[#This Row],[CONSUMO POL CATIONICO (KG)]]</f>
        <v>0</v>
      </c>
      <c r="X36" s="318" t="e">
        <f t="shared" si="9"/>
        <v>#DIV/0!</v>
      </c>
      <c r="Y36" s="317" t="e">
        <f t="shared" si="10"/>
        <v>#DIV/0!</v>
      </c>
      <c r="Z36" s="317" t="e">
        <f t="shared" si="11"/>
        <v>#DIV/0!</v>
      </c>
      <c r="AA36" s="317" t="e">
        <f t="shared" si="12"/>
        <v>#DIV/0!</v>
      </c>
      <c r="AB36" s="301" t="e">
        <f t="shared" si="13"/>
        <v>#DIV/0!</v>
      </c>
      <c r="AC36" s="308">
        <v>1.3</v>
      </c>
      <c r="AD36" s="308">
        <v>1.325</v>
      </c>
      <c r="AE36" s="308">
        <v>1.25</v>
      </c>
      <c r="AF36" s="309">
        <v>2500</v>
      </c>
      <c r="AG36" s="310">
        <v>2500</v>
      </c>
      <c r="AH36" s="97">
        <v>830</v>
      </c>
      <c r="AI36" s="97">
        <v>2818</v>
      </c>
      <c r="AJ36" s="97">
        <v>6295</v>
      </c>
      <c r="AK36" s="97">
        <v>19050</v>
      </c>
      <c r="AL36" s="97">
        <v>22050</v>
      </c>
      <c r="AM36" s="319">
        <f t="shared" si="25"/>
        <v>0</v>
      </c>
      <c r="AN36" s="314">
        <f t="shared" si="25"/>
        <v>0</v>
      </c>
      <c r="AO36" s="314">
        <f t="shared" si="25"/>
        <v>0</v>
      </c>
      <c r="AP36" s="314">
        <f t="shared" si="25"/>
        <v>0</v>
      </c>
      <c r="AQ36" s="320">
        <f t="shared" si="25"/>
        <v>0</v>
      </c>
      <c r="AR36" s="311">
        <f>SUM(Tabla1[[#This Row],[COSTO OPERATIVO ACIDO]:[COSTO OPERATIVO CATIONICO]])</f>
        <v>0</v>
      </c>
      <c r="AS36" s="319">
        <v>3599</v>
      </c>
      <c r="AT36" s="314" t="e">
        <f t="shared" si="39"/>
        <v>#DIV/0!</v>
      </c>
      <c r="AU36" s="220">
        <f>IFERROR(Tabla1[[#This Row],[CAUDAL TOTAL TRATADO GEM ]]/Tabla1[[#This Row],[CAUDAL DE TRATAMIENTO]],0)</f>
        <v>0</v>
      </c>
    </row>
    <row r="37" spans="1:47" s="229" customFormat="1" thickBot="1" x14ac:dyDescent="0.3">
      <c r="A37" s="432">
        <f t="shared" si="41"/>
        <v>46124</v>
      </c>
      <c r="B37" s="222">
        <v>12</v>
      </c>
      <c r="C37" s="225" t="s">
        <v>30</v>
      </c>
      <c r="D37" s="226">
        <v>36</v>
      </c>
      <c r="E37" s="226" t="s">
        <v>76</v>
      </c>
      <c r="F37" s="315">
        <v>3050</v>
      </c>
      <c r="G37" s="316">
        <v>6800</v>
      </c>
      <c r="H37" s="316">
        <v>4500</v>
      </c>
      <c r="I37" s="316">
        <f t="shared" si="37"/>
        <v>230</v>
      </c>
      <c r="J37" s="316">
        <f>+J36-0</f>
        <v>365</v>
      </c>
      <c r="K37" s="326">
        <v>17722</v>
      </c>
      <c r="L37" s="221">
        <f t="shared" si="38"/>
        <v>0</v>
      </c>
      <c r="M37" s="221">
        <v>80</v>
      </c>
      <c r="N37" s="302">
        <f t="shared" si="23"/>
        <v>0</v>
      </c>
      <c r="O37" s="329">
        <f t="shared" si="23"/>
        <v>0</v>
      </c>
      <c r="P37" s="302">
        <f t="shared" si="24"/>
        <v>0</v>
      </c>
      <c r="Q37" s="302">
        <f t="shared" si="24"/>
        <v>0</v>
      </c>
      <c r="R37" s="298">
        <f t="shared" si="24"/>
        <v>0</v>
      </c>
      <c r="S37" s="306">
        <f t="shared" si="6"/>
        <v>0</v>
      </c>
      <c r="T37" s="307">
        <f t="shared" si="7"/>
        <v>0</v>
      </c>
      <c r="U37" s="307">
        <f t="shared" si="8"/>
        <v>0</v>
      </c>
      <c r="V37" s="321">
        <f>Tabla1[[#This Row],[CONSUMO POL ANIONICO (KG)]]</f>
        <v>0</v>
      </c>
      <c r="W37" s="303">
        <f>Tabla1[[#This Row],[CONSUMO POL CATIONICO (KG)]]</f>
        <v>0</v>
      </c>
      <c r="X37" s="318" t="e">
        <f t="shared" si="9"/>
        <v>#DIV/0!</v>
      </c>
      <c r="Y37" s="321" t="e">
        <f t="shared" si="10"/>
        <v>#DIV/0!</v>
      </c>
      <c r="Z37" s="321" t="e">
        <f t="shared" si="11"/>
        <v>#DIV/0!</v>
      </c>
      <c r="AA37" s="321" t="e">
        <f t="shared" si="12"/>
        <v>#DIV/0!</v>
      </c>
      <c r="AB37" s="303" t="e">
        <f t="shared" si="13"/>
        <v>#DIV/0!</v>
      </c>
      <c r="AC37" s="308">
        <v>1.3</v>
      </c>
      <c r="AD37" s="308">
        <v>1.325</v>
      </c>
      <c r="AE37" s="308">
        <v>1.25</v>
      </c>
      <c r="AF37" s="309">
        <v>2500</v>
      </c>
      <c r="AG37" s="310">
        <v>2500</v>
      </c>
      <c r="AH37" s="97">
        <v>830</v>
      </c>
      <c r="AI37" s="97">
        <v>2818</v>
      </c>
      <c r="AJ37" s="97">
        <v>6295</v>
      </c>
      <c r="AK37" s="97">
        <v>19050</v>
      </c>
      <c r="AL37" s="97">
        <v>22050</v>
      </c>
      <c r="AM37" s="319">
        <f t="shared" si="25"/>
        <v>0</v>
      </c>
      <c r="AN37" s="322">
        <f t="shared" si="25"/>
        <v>0</v>
      </c>
      <c r="AO37" s="322">
        <f t="shared" si="25"/>
        <v>0</v>
      </c>
      <c r="AP37" s="322">
        <f t="shared" si="25"/>
        <v>0</v>
      </c>
      <c r="AQ37" s="323">
        <f t="shared" si="25"/>
        <v>0</v>
      </c>
      <c r="AR37" s="311">
        <f>SUM(Tabla1[[#This Row],[COSTO OPERATIVO ACIDO]:[COSTO OPERATIVO CATIONICO]])</f>
        <v>0</v>
      </c>
      <c r="AS37" s="319">
        <v>3599</v>
      </c>
      <c r="AT37" s="314" t="e">
        <f t="shared" si="39"/>
        <v>#DIV/0!</v>
      </c>
      <c r="AU37" s="220">
        <f>IFERROR(Tabla1[[#This Row],[CAUDAL TOTAL TRATADO GEM ]]/Tabla1[[#This Row],[CAUDAL DE TRATAMIENTO]],0)</f>
        <v>0</v>
      </c>
    </row>
    <row r="38" spans="1:47" thickBot="1" x14ac:dyDescent="0.3">
      <c r="A38" s="116">
        <f t="shared" ref="A38" si="42">+A37+1</f>
        <v>46125</v>
      </c>
      <c r="B38" s="96">
        <v>13</v>
      </c>
      <c r="C38" s="211" t="s">
        <v>277</v>
      </c>
      <c r="D38" s="212">
        <v>37</v>
      </c>
      <c r="E38" s="212" t="s">
        <v>75</v>
      </c>
      <c r="F38" s="304">
        <v>3050</v>
      </c>
      <c r="G38" s="305">
        <v>6800</v>
      </c>
      <c r="H38" s="305">
        <v>4500</v>
      </c>
      <c r="I38" s="305">
        <f t="shared" si="37"/>
        <v>230</v>
      </c>
      <c r="J38" s="305">
        <f>+J37-0</f>
        <v>365</v>
      </c>
      <c r="K38" s="324">
        <v>17722</v>
      </c>
      <c r="L38" s="220">
        <f t="shared" si="38"/>
        <v>480</v>
      </c>
      <c r="M38" s="220">
        <v>80</v>
      </c>
      <c r="N38" s="298">
        <f t="shared" si="23"/>
        <v>150</v>
      </c>
      <c r="O38" s="327">
        <f t="shared" si="23"/>
        <v>100</v>
      </c>
      <c r="P38" s="298">
        <f t="shared" si="24"/>
        <v>20</v>
      </c>
      <c r="Q38" s="298">
        <f t="shared" si="24"/>
        <v>0</v>
      </c>
      <c r="R38" s="298">
        <f t="shared" si="24"/>
        <v>10</v>
      </c>
      <c r="S38" s="306">
        <f t="shared" si="6"/>
        <v>195</v>
      </c>
      <c r="T38" s="307">
        <f t="shared" si="7"/>
        <v>132.5</v>
      </c>
      <c r="U38" s="307">
        <f t="shared" si="8"/>
        <v>25</v>
      </c>
      <c r="V38" s="307">
        <f>Tabla1[[#This Row],[CONSUMO POL ANIONICO (KG)]]</f>
        <v>0</v>
      </c>
      <c r="W38" s="299">
        <f>Tabla1[[#This Row],[CONSUMO POL CATIONICO (KG)]]</f>
        <v>10</v>
      </c>
      <c r="X38" s="306">
        <f t="shared" si="9"/>
        <v>406.25</v>
      </c>
      <c r="Y38" s="307">
        <f t="shared" si="10"/>
        <v>276.04166666666669</v>
      </c>
      <c r="Z38" s="307">
        <f t="shared" si="11"/>
        <v>52.083333333333336</v>
      </c>
      <c r="AA38" s="307">
        <f t="shared" si="12"/>
        <v>0</v>
      </c>
      <c r="AB38" s="299">
        <f t="shared" si="13"/>
        <v>20.833333333333332</v>
      </c>
      <c r="AC38" s="308">
        <v>1.3</v>
      </c>
      <c r="AD38" s="308">
        <v>1.325</v>
      </c>
      <c r="AE38" s="308">
        <v>1.25</v>
      </c>
      <c r="AF38" s="309">
        <v>2500</v>
      </c>
      <c r="AG38" s="310">
        <v>2500</v>
      </c>
      <c r="AH38" s="97">
        <v>830</v>
      </c>
      <c r="AI38" s="97">
        <v>2818</v>
      </c>
      <c r="AJ38" s="97">
        <v>6295</v>
      </c>
      <c r="AK38" s="97">
        <v>19050</v>
      </c>
      <c r="AL38" s="97">
        <v>22050</v>
      </c>
      <c r="AM38" s="311">
        <f t="shared" si="25"/>
        <v>161850</v>
      </c>
      <c r="AN38" s="312">
        <f t="shared" si="25"/>
        <v>373385</v>
      </c>
      <c r="AO38" s="312">
        <f t="shared" si="25"/>
        <v>157375</v>
      </c>
      <c r="AP38" s="312">
        <f t="shared" si="25"/>
        <v>0</v>
      </c>
      <c r="AQ38" s="313">
        <f t="shared" si="25"/>
        <v>220500</v>
      </c>
      <c r="AR38" s="311">
        <f>SUM(Tabla1[[#This Row],[COSTO OPERATIVO ACIDO]:[COSTO OPERATIVO CATIONICO]])</f>
        <v>913110</v>
      </c>
      <c r="AS38" s="311">
        <v>3599</v>
      </c>
      <c r="AT38" s="314">
        <f t="shared" si="39"/>
        <v>1902.3125</v>
      </c>
      <c r="AU38" s="220">
        <f>IFERROR(Tabla1[[#This Row],[CAUDAL TOTAL TRATADO GEM ]]/Tabla1[[#This Row],[CAUDAL DE TRATAMIENTO]],0)</f>
        <v>6</v>
      </c>
    </row>
    <row r="39" spans="1:47" ht="15.75" thickBot="1" x14ac:dyDescent="0.3">
      <c r="A39" s="431">
        <f t="shared" ref="A39:A40" si="43">+A38</f>
        <v>46125</v>
      </c>
      <c r="B39" s="96">
        <v>13</v>
      </c>
      <c r="C39" s="213" t="s">
        <v>278</v>
      </c>
      <c r="D39" s="214">
        <v>38</v>
      </c>
      <c r="E39" s="214" t="s">
        <v>77</v>
      </c>
      <c r="F39" s="315">
        <v>2900</v>
      </c>
      <c r="G39" s="316">
        <v>6700</v>
      </c>
      <c r="H39" s="316">
        <v>4480</v>
      </c>
      <c r="I39" s="316">
        <f t="shared" si="37"/>
        <v>230</v>
      </c>
      <c r="J39" s="316">
        <f>+J38-10</f>
        <v>355</v>
      </c>
      <c r="K39" s="325">
        <v>17728</v>
      </c>
      <c r="L39" s="219">
        <f t="shared" si="38"/>
        <v>400</v>
      </c>
      <c r="M39" s="219">
        <v>80</v>
      </c>
      <c r="N39" s="300">
        <f t="shared" si="23"/>
        <v>100</v>
      </c>
      <c r="O39" s="328">
        <f t="shared" si="23"/>
        <v>100</v>
      </c>
      <c r="P39" s="300">
        <f t="shared" si="24"/>
        <v>30</v>
      </c>
      <c r="Q39" s="300">
        <f t="shared" si="24"/>
        <v>5</v>
      </c>
      <c r="R39" s="298">
        <f t="shared" si="24"/>
        <v>5</v>
      </c>
      <c r="S39" s="306">
        <f t="shared" si="6"/>
        <v>130</v>
      </c>
      <c r="T39" s="307">
        <f t="shared" si="7"/>
        <v>132.5</v>
      </c>
      <c r="U39" s="307">
        <f t="shared" si="8"/>
        <v>37.5</v>
      </c>
      <c r="V39" s="317">
        <f>Tabla1[[#This Row],[CONSUMO POL ANIONICO (KG)]]</f>
        <v>5</v>
      </c>
      <c r="W39" s="301">
        <f>Tabla1[[#This Row],[CONSUMO POL CATIONICO (KG)]]</f>
        <v>5</v>
      </c>
      <c r="X39" s="318">
        <f t="shared" si="9"/>
        <v>325</v>
      </c>
      <c r="Y39" s="317">
        <f t="shared" si="10"/>
        <v>331.25</v>
      </c>
      <c r="Z39" s="317">
        <f t="shared" si="11"/>
        <v>93.75</v>
      </c>
      <c r="AA39" s="317">
        <f t="shared" si="12"/>
        <v>12.5</v>
      </c>
      <c r="AB39" s="301">
        <f t="shared" si="13"/>
        <v>12.5</v>
      </c>
      <c r="AC39" s="308">
        <v>1.3</v>
      </c>
      <c r="AD39" s="308">
        <v>1.325</v>
      </c>
      <c r="AE39" s="308">
        <v>1.25</v>
      </c>
      <c r="AF39" s="309">
        <v>2500</v>
      </c>
      <c r="AG39" s="310">
        <v>2500</v>
      </c>
      <c r="AH39" s="97">
        <v>830</v>
      </c>
      <c r="AI39" s="97">
        <v>2818</v>
      </c>
      <c r="AJ39" s="97">
        <v>6295</v>
      </c>
      <c r="AK39" s="97">
        <v>19050</v>
      </c>
      <c r="AL39" s="97">
        <v>22050</v>
      </c>
      <c r="AM39" s="319">
        <f t="shared" si="25"/>
        <v>107900</v>
      </c>
      <c r="AN39" s="314">
        <f t="shared" si="25"/>
        <v>373385</v>
      </c>
      <c r="AO39" s="314">
        <f t="shared" si="25"/>
        <v>236062.5</v>
      </c>
      <c r="AP39" s="314">
        <f t="shared" si="25"/>
        <v>95250</v>
      </c>
      <c r="AQ39" s="320">
        <f t="shared" si="25"/>
        <v>110250</v>
      </c>
      <c r="AR39" s="311">
        <f>SUM(Tabla1[[#This Row],[COSTO OPERATIVO ACIDO]:[COSTO OPERATIVO CATIONICO]])</f>
        <v>922847.5</v>
      </c>
      <c r="AS39" s="319">
        <v>3599</v>
      </c>
      <c r="AT39" s="314">
        <f t="shared" si="39"/>
        <v>2307.1187500000001</v>
      </c>
      <c r="AU39" s="220">
        <f>IFERROR(Tabla1[[#This Row],[CAUDAL TOTAL TRATADO GEM ]]/Tabla1[[#This Row],[CAUDAL DE TRATAMIENTO]],0)</f>
        <v>5</v>
      </c>
    </row>
    <row r="40" spans="1:47" thickBot="1" x14ac:dyDescent="0.3">
      <c r="A40" s="432">
        <f t="shared" si="43"/>
        <v>46125</v>
      </c>
      <c r="B40" s="96">
        <v>13</v>
      </c>
      <c r="C40" s="215" t="s">
        <v>30</v>
      </c>
      <c r="D40" s="216">
        <v>39</v>
      </c>
      <c r="E40" s="216" t="s">
        <v>76</v>
      </c>
      <c r="F40" s="315">
        <v>2800</v>
      </c>
      <c r="G40" s="316">
        <v>6600</v>
      </c>
      <c r="H40" s="316">
        <v>4450</v>
      </c>
      <c r="I40" s="316">
        <f>+I39-5</f>
        <v>225</v>
      </c>
      <c r="J40" s="316">
        <f>+J39-5</f>
        <v>350</v>
      </c>
      <c r="K40" s="326">
        <v>17733</v>
      </c>
      <c r="L40" s="221">
        <f t="shared" si="38"/>
        <v>480</v>
      </c>
      <c r="M40" s="221">
        <v>80</v>
      </c>
      <c r="N40" s="302">
        <f t="shared" si="23"/>
        <v>100</v>
      </c>
      <c r="O40" s="329">
        <f t="shared" si="23"/>
        <v>100</v>
      </c>
      <c r="P40" s="302">
        <f t="shared" si="24"/>
        <v>100</v>
      </c>
      <c r="Q40" s="302">
        <f t="shared" si="24"/>
        <v>0</v>
      </c>
      <c r="R40" s="298">
        <f t="shared" si="24"/>
        <v>5</v>
      </c>
      <c r="S40" s="306">
        <f t="shared" si="6"/>
        <v>130</v>
      </c>
      <c r="T40" s="307">
        <f t="shared" si="7"/>
        <v>132.5</v>
      </c>
      <c r="U40" s="307">
        <f t="shared" si="8"/>
        <v>125</v>
      </c>
      <c r="V40" s="321">
        <f>Tabla1[[#This Row],[CONSUMO POL ANIONICO (KG)]]</f>
        <v>0</v>
      </c>
      <c r="W40" s="303">
        <f>Tabla1[[#This Row],[CONSUMO POL CATIONICO (KG)]]</f>
        <v>5</v>
      </c>
      <c r="X40" s="318">
        <f t="shared" si="9"/>
        <v>270.83333333333331</v>
      </c>
      <c r="Y40" s="321">
        <f t="shared" si="10"/>
        <v>276.04166666666669</v>
      </c>
      <c r="Z40" s="321">
        <f t="shared" si="11"/>
        <v>260.41666666666669</v>
      </c>
      <c r="AA40" s="321">
        <f t="shared" si="12"/>
        <v>0</v>
      </c>
      <c r="AB40" s="303">
        <f t="shared" si="13"/>
        <v>10.416666666666666</v>
      </c>
      <c r="AC40" s="308">
        <v>1.3</v>
      </c>
      <c r="AD40" s="308">
        <v>1.325</v>
      </c>
      <c r="AE40" s="308">
        <v>1.25</v>
      </c>
      <c r="AF40" s="309">
        <v>2500</v>
      </c>
      <c r="AG40" s="310">
        <v>2500</v>
      </c>
      <c r="AH40" s="97">
        <v>830</v>
      </c>
      <c r="AI40" s="97">
        <v>2818</v>
      </c>
      <c r="AJ40" s="97">
        <v>6295</v>
      </c>
      <c r="AK40" s="97">
        <v>19050</v>
      </c>
      <c r="AL40" s="97">
        <v>22050</v>
      </c>
      <c r="AM40" s="319">
        <f t="shared" si="25"/>
        <v>107900</v>
      </c>
      <c r="AN40" s="322">
        <f t="shared" si="25"/>
        <v>373385</v>
      </c>
      <c r="AO40" s="322">
        <f t="shared" si="25"/>
        <v>786875</v>
      </c>
      <c r="AP40" s="322">
        <f t="shared" si="25"/>
        <v>0</v>
      </c>
      <c r="AQ40" s="323">
        <f t="shared" si="25"/>
        <v>110250</v>
      </c>
      <c r="AR40" s="311">
        <f>SUM(Tabla1[[#This Row],[COSTO OPERATIVO ACIDO]:[COSTO OPERATIVO CATIONICO]])</f>
        <v>1378410</v>
      </c>
      <c r="AS40" s="319">
        <v>3599</v>
      </c>
      <c r="AT40" s="314">
        <f t="shared" si="39"/>
        <v>2871.6875</v>
      </c>
      <c r="AU40" s="220">
        <f>IFERROR(Tabla1[[#This Row],[CAUDAL TOTAL TRATADO GEM ]]/Tabla1[[#This Row],[CAUDAL DE TRATAMIENTO]],0)</f>
        <v>6</v>
      </c>
    </row>
    <row r="41" spans="1:47" thickBot="1" x14ac:dyDescent="0.3">
      <c r="A41" s="116">
        <f t="shared" ref="A41" si="44">+A40+1</f>
        <v>46126</v>
      </c>
      <c r="B41" s="96">
        <v>14</v>
      </c>
      <c r="C41" s="211" t="s">
        <v>279</v>
      </c>
      <c r="D41" s="212">
        <v>40</v>
      </c>
      <c r="E41" s="212" t="s">
        <v>75</v>
      </c>
      <c r="F41" s="304">
        <v>2700</v>
      </c>
      <c r="G41" s="305">
        <v>6500</v>
      </c>
      <c r="H41" s="305">
        <v>4350</v>
      </c>
      <c r="I41" s="305">
        <f>+I40-0</f>
        <v>225</v>
      </c>
      <c r="J41" s="305">
        <f>+J40-5</f>
        <v>345</v>
      </c>
      <c r="K41" s="324">
        <v>17739</v>
      </c>
      <c r="L41" s="220">
        <f t="shared" si="38"/>
        <v>560</v>
      </c>
      <c r="M41" s="220">
        <v>80</v>
      </c>
      <c r="N41" s="298">
        <f t="shared" si="23"/>
        <v>100</v>
      </c>
      <c r="O41" s="327">
        <f t="shared" si="23"/>
        <v>200</v>
      </c>
      <c r="P41" s="298">
        <f t="shared" si="24"/>
        <v>70</v>
      </c>
      <c r="Q41" s="298">
        <f t="shared" si="24"/>
        <v>5</v>
      </c>
      <c r="R41" s="298">
        <f t="shared" si="24"/>
        <v>10</v>
      </c>
      <c r="S41" s="306">
        <f t="shared" si="6"/>
        <v>130</v>
      </c>
      <c r="T41" s="307">
        <f t="shared" si="7"/>
        <v>265</v>
      </c>
      <c r="U41" s="307">
        <f t="shared" si="8"/>
        <v>87.5</v>
      </c>
      <c r="V41" s="307">
        <f>Tabla1[[#This Row],[CONSUMO POL ANIONICO (KG)]]</f>
        <v>5</v>
      </c>
      <c r="W41" s="299">
        <f>Tabla1[[#This Row],[CONSUMO POL CATIONICO (KG)]]</f>
        <v>10</v>
      </c>
      <c r="X41" s="306">
        <f t="shared" si="9"/>
        <v>232.14285714285714</v>
      </c>
      <c r="Y41" s="307">
        <f t="shared" si="10"/>
        <v>473.21428571428572</v>
      </c>
      <c r="Z41" s="307">
        <f t="shared" si="11"/>
        <v>156.25</v>
      </c>
      <c r="AA41" s="307">
        <f t="shared" si="12"/>
        <v>8.9285714285714288</v>
      </c>
      <c r="AB41" s="299">
        <f t="shared" si="13"/>
        <v>17.857142857142858</v>
      </c>
      <c r="AC41" s="308">
        <v>1.3</v>
      </c>
      <c r="AD41" s="308">
        <v>1.325</v>
      </c>
      <c r="AE41" s="308">
        <v>1.25</v>
      </c>
      <c r="AF41" s="309">
        <v>2500</v>
      </c>
      <c r="AG41" s="310">
        <v>2500</v>
      </c>
      <c r="AH41" s="97">
        <v>830</v>
      </c>
      <c r="AI41" s="97">
        <v>2818</v>
      </c>
      <c r="AJ41" s="97">
        <v>6295</v>
      </c>
      <c r="AK41" s="97">
        <v>19050</v>
      </c>
      <c r="AL41" s="97">
        <v>22050</v>
      </c>
      <c r="AM41" s="311">
        <f t="shared" si="25"/>
        <v>107900</v>
      </c>
      <c r="AN41" s="312">
        <f t="shared" si="25"/>
        <v>746770</v>
      </c>
      <c r="AO41" s="312">
        <f t="shared" si="25"/>
        <v>550812.5</v>
      </c>
      <c r="AP41" s="312">
        <f t="shared" si="25"/>
        <v>95250</v>
      </c>
      <c r="AQ41" s="313">
        <f t="shared" si="25"/>
        <v>220500</v>
      </c>
      <c r="AR41" s="311">
        <f>SUM(Tabla1[[#This Row],[COSTO OPERATIVO ACIDO]:[COSTO OPERATIVO CATIONICO]])</f>
        <v>1721232.5</v>
      </c>
      <c r="AS41" s="311">
        <v>3599</v>
      </c>
      <c r="AT41" s="314">
        <f t="shared" si="39"/>
        <v>3073.6294642857142</v>
      </c>
      <c r="AU41" s="220">
        <f>IFERROR(Tabla1[[#This Row],[CAUDAL TOTAL TRATADO GEM ]]/Tabla1[[#This Row],[CAUDAL DE TRATAMIENTO]],0)</f>
        <v>7</v>
      </c>
    </row>
    <row r="42" spans="1:47" ht="15.75" thickBot="1" x14ac:dyDescent="0.3">
      <c r="A42" s="431">
        <f t="shared" ref="A42:A43" si="45">+A41</f>
        <v>46126</v>
      </c>
      <c r="B42" s="96">
        <v>14</v>
      </c>
      <c r="C42" s="213" t="s">
        <v>280</v>
      </c>
      <c r="D42" s="214">
        <v>41</v>
      </c>
      <c r="E42" s="214" t="s">
        <v>77</v>
      </c>
      <c r="F42" s="315">
        <v>2600</v>
      </c>
      <c r="G42" s="316">
        <v>6300</v>
      </c>
      <c r="H42" s="316">
        <v>4280</v>
      </c>
      <c r="I42" s="316">
        <f>+I41-5</f>
        <v>220</v>
      </c>
      <c r="J42" s="316">
        <f>+J41-10</f>
        <v>335</v>
      </c>
      <c r="K42" s="325">
        <v>17746</v>
      </c>
      <c r="L42" s="219">
        <f t="shared" si="38"/>
        <v>240</v>
      </c>
      <c r="M42" s="219">
        <v>80</v>
      </c>
      <c r="N42" s="300">
        <f t="shared" si="23"/>
        <v>60</v>
      </c>
      <c r="O42" s="328">
        <f t="shared" si="23"/>
        <v>140</v>
      </c>
      <c r="P42" s="300">
        <f t="shared" si="24"/>
        <v>30</v>
      </c>
      <c r="Q42" s="300">
        <f t="shared" si="24"/>
        <v>5</v>
      </c>
      <c r="R42" s="298">
        <f t="shared" si="24"/>
        <v>5</v>
      </c>
      <c r="S42" s="306">
        <f t="shared" si="6"/>
        <v>78</v>
      </c>
      <c r="T42" s="307">
        <f t="shared" si="7"/>
        <v>185.5</v>
      </c>
      <c r="U42" s="307">
        <f t="shared" si="8"/>
        <v>37.5</v>
      </c>
      <c r="V42" s="317">
        <f>Tabla1[[#This Row],[CONSUMO POL ANIONICO (KG)]]</f>
        <v>5</v>
      </c>
      <c r="W42" s="301">
        <f>Tabla1[[#This Row],[CONSUMO POL CATIONICO (KG)]]</f>
        <v>5</v>
      </c>
      <c r="X42" s="318">
        <f t="shared" si="9"/>
        <v>325</v>
      </c>
      <c r="Y42" s="317">
        <f t="shared" si="10"/>
        <v>772.91666666666663</v>
      </c>
      <c r="Z42" s="317">
        <f t="shared" si="11"/>
        <v>156.25</v>
      </c>
      <c r="AA42" s="317">
        <f t="shared" si="12"/>
        <v>20.833333333333332</v>
      </c>
      <c r="AB42" s="301">
        <f t="shared" si="13"/>
        <v>20.833333333333332</v>
      </c>
      <c r="AC42" s="308">
        <v>1.3</v>
      </c>
      <c r="AD42" s="308">
        <v>1.325</v>
      </c>
      <c r="AE42" s="308">
        <v>1.25</v>
      </c>
      <c r="AF42" s="309">
        <v>2500</v>
      </c>
      <c r="AG42" s="310">
        <v>2500</v>
      </c>
      <c r="AH42" s="97">
        <v>830</v>
      </c>
      <c r="AI42" s="97">
        <v>2818</v>
      </c>
      <c r="AJ42" s="97">
        <v>6295</v>
      </c>
      <c r="AK42" s="97">
        <v>19050</v>
      </c>
      <c r="AL42" s="97">
        <v>22050</v>
      </c>
      <c r="AM42" s="319">
        <f t="shared" si="25"/>
        <v>64740</v>
      </c>
      <c r="AN42" s="314">
        <f t="shared" si="25"/>
        <v>522739</v>
      </c>
      <c r="AO42" s="314">
        <f t="shared" si="25"/>
        <v>236062.5</v>
      </c>
      <c r="AP42" s="314">
        <f t="shared" si="25"/>
        <v>95250</v>
      </c>
      <c r="AQ42" s="320">
        <f t="shared" si="25"/>
        <v>110250</v>
      </c>
      <c r="AR42" s="311">
        <f>SUM(Tabla1[[#This Row],[COSTO OPERATIVO ACIDO]:[COSTO OPERATIVO CATIONICO]])</f>
        <v>1029041.5</v>
      </c>
      <c r="AS42" s="319">
        <v>3599</v>
      </c>
      <c r="AT42" s="314">
        <f t="shared" si="39"/>
        <v>4287.6729166666664</v>
      </c>
      <c r="AU42" s="220">
        <f>IFERROR(Tabla1[[#This Row],[CAUDAL TOTAL TRATADO GEM ]]/Tabla1[[#This Row],[CAUDAL DE TRATAMIENTO]],0)</f>
        <v>3</v>
      </c>
    </row>
    <row r="43" spans="1:47" thickBot="1" x14ac:dyDescent="0.3">
      <c r="A43" s="432">
        <f t="shared" si="45"/>
        <v>46126</v>
      </c>
      <c r="B43" s="96">
        <v>14</v>
      </c>
      <c r="C43" s="215" t="s">
        <v>30</v>
      </c>
      <c r="D43" s="216">
        <v>42</v>
      </c>
      <c r="E43" s="216" t="s">
        <v>76</v>
      </c>
      <c r="F43" s="315">
        <v>2540</v>
      </c>
      <c r="G43" s="316">
        <v>6160</v>
      </c>
      <c r="H43" s="316">
        <v>4250</v>
      </c>
      <c r="I43" s="316">
        <f>+I42-5</f>
        <v>215</v>
      </c>
      <c r="J43" s="316">
        <f>+J42-5</f>
        <v>330</v>
      </c>
      <c r="K43" s="326">
        <v>17749</v>
      </c>
      <c r="L43" s="221">
        <f t="shared" si="38"/>
        <v>480</v>
      </c>
      <c r="M43" s="221">
        <v>80</v>
      </c>
      <c r="N43" s="302">
        <f t="shared" si="23"/>
        <v>40</v>
      </c>
      <c r="O43" s="329">
        <f t="shared" si="23"/>
        <v>230</v>
      </c>
      <c r="P43" s="302">
        <f t="shared" si="24"/>
        <v>20</v>
      </c>
      <c r="Q43" s="302">
        <f t="shared" si="24"/>
        <v>5</v>
      </c>
      <c r="R43" s="298">
        <f t="shared" si="24"/>
        <v>5</v>
      </c>
      <c r="S43" s="306">
        <f t="shared" si="6"/>
        <v>52</v>
      </c>
      <c r="T43" s="307">
        <f t="shared" si="7"/>
        <v>304.75</v>
      </c>
      <c r="U43" s="307">
        <f t="shared" si="8"/>
        <v>25</v>
      </c>
      <c r="V43" s="321">
        <f>Tabla1[[#This Row],[CONSUMO POL ANIONICO (KG)]]</f>
        <v>5</v>
      </c>
      <c r="W43" s="303">
        <f>Tabla1[[#This Row],[CONSUMO POL CATIONICO (KG)]]</f>
        <v>5</v>
      </c>
      <c r="X43" s="318">
        <f t="shared" si="9"/>
        <v>108.33333333333333</v>
      </c>
      <c r="Y43" s="321">
        <f t="shared" si="10"/>
        <v>634.89583333333337</v>
      </c>
      <c r="Z43" s="321">
        <f t="shared" si="11"/>
        <v>52.083333333333336</v>
      </c>
      <c r="AA43" s="321">
        <f t="shared" si="12"/>
        <v>10.416666666666666</v>
      </c>
      <c r="AB43" s="303">
        <f t="shared" si="13"/>
        <v>10.416666666666666</v>
      </c>
      <c r="AC43" s="308">
        <v>1.3</v>
      </c>
      <c r="AD43" s="308">
        <v>1.325</v>
      </c>
      <c r="AE43" s="308">
        <v>1.25</v>
      </c>
      <c r="AF43" s="309">
        <v>2500</v>
      </c>
      <c r="AG43" s="310">
        <v>2500</v>
      </c>
      <c r="AH43" s="97">
        <v>830</v>
      </c>
      <c r="AI43" s="97">
        <v>2818</v>
      </c>
      <c r="AJ43" s="97">
        <v>6295</v>
      </c>
      <c r="AK43" s="97">
        <v>19050</v>
      </c>
      <c r="AL43" s="97">
        <v>22050</v>
      </c>
      <c r="AM43" s="319">
        <f t="shared" si="25"/>
        <v>43160</v>
      </c>
      <c r="AN43" s="322">
        <f t="shared" si="25"/>
        <v>858785.5</v>
      </c>
      <c r="AO43" s="322">
        <f t="shared" si="25"/>
        <v>157375</v>
      </c>
      <c r="AP43" s="322">
        <f t="shared" si="25"/>
        <v>95250</v>
      </c>
      <c r="AQ43" s="323">
        <f t="shared" si="25"/>
        <v>110250</v>
      </c>
      <c r="AR43" s="311">
        <f>SUM(Tabla1[[#This Row],[COSTO OPERATIVO ACIDO]:[COSTO OPERATIVO CATIONICO]])</f>
        <v>1264820.5</v>
      </c>
      <c r="AS43" s="319">
        <v>3599</v>
      </c>
      <c r="AT43" s="314">
        <f t="shared" si="39"/>
        <v>2635.0427083333334</v>
      </c>
      <c r="AU43" s="220">
        <f>IFERROR(Tabla1[[#This Row],[CAUDAL TOTAL TRATADO GEM ]]/Tabla1[[#This Row],[CAUDAL DE TRATAMIENTO]],0)</f>
        <v>6</v>
      </c>
    </row>
    <row r="44" spans="1:47" thickBot="1" x14ac:dyDescent="0.3">
      <c r="A44" s="116">
        <f t="shared" ref="A44" si="46">+A43+1</f>
        <v>46127</v>
      </c>
      <c r="B44" s="96">
        <v>15</v>
      </c>
      <c r="C44" s="211" t="s">
        <v>281</v>
      </c>
      <c r="D44" s="212">
        <v>43</v>
      </c>
      <c r="E44" s="212" t="s">
        <v>75</v>
      </c>
      <c r="F44" s="304">
        <v>2500</v>
      </c>
      <c r="G44" s="305">
        <v>5930</v>
      </c>
      <c r="H44" s="305">
        <v>4230</v>
      </c>
      <c r="I44" s="305">
        <f>+I43-5</f>
        <v>210</v>
      </c>
      <c r="J44" s="305">
        <f>+J43-5</f>
        <v>325</v>
      </c>
      <c r="K44" s="324">
        <v>17755</v>
      </c>
      <c r="L44" s="220">
        <f t="shared" si="38"/>
        <v>480</v>
      </c>
      <c r="M44" s="220">
        <v>80</v>
      </c>
      <c r="N44" s="298">
        <f t="shared" si="23"/>
        <v>170</v>
      </c>
      <c r="O44" s="327">
        <f t="shared" si="23"/>
        <v>200</v>
      </c>
      <c r="P44" s="298">
        <f t="shared" si="24"/>
        <v>80</v>
      </c>
      <c r="Q44" s="298">
        <f t="shared" si="24"/>
        <v>0</v>
      </c>
      <c r="R44" s="298">
        <f t="shared" si="24"/>
        <v>5</v>
      </c>
      <c r="S44" s="306">
        <f t="shared" si="6"/>
        <v>221</v>
      </c>
      <c r="T44" s="307">
        <f t="shared" si="7"/>
        <v>265</v>
      </c>
      <c r="U44" s="307">
        <f t="shared" si="8"/>
        <v>100</v>
      </c>
      <c r="V44" s="307">
        <f>Tabla1[[#This Row],[CONSUMO POL ANIONICO (KG)]]</f>
        <v>0</v>
      </c>
      <c r="W44" s="299">
        <f>Tabla1[[#This Row],[CONSUMO POL CATIONICO (KG)]]</f>
        <v>5</v>
      </c>
      <c r="X44" s="306">
        <f t="shared" si="9"/>
        <v>460.41666666666669</v>
      </c>
      <c r="Y44" s="307">
        <f t="shared" si="10"/>
        <v>552.08333333333337</v>
      </c>
      <c r="Z44" s="307">
        <f t="shared" si="11"/>
        <v>208.33333333333334</v>
      </c>
      <c r="AA44" s="307">
        <f t="shared" si="12"/>
        <v>0</v>
      </c>
      <c r="AB44" s="299">
        <f t="shared" si="13"/>
        <v>10.416666666666666</v>
      </c>
      <c r="AC44" s="308">
        <v>1.3</v>
      </c>
      <c r="AD44" s="308">
        <v>1.325</v>
      </c>
      <c r="AE44" s="308">
        <v>1.25</v>
      </c>
      <c r="AF44" s="309">
        <v>2500</v>
      </c>
      <c r="AG44" s="310">
        <v>2500</v>
      </c>
      <c r="AH44" s="97">
        <v>830</v>
      </c>
      <c r="AI44" s="97">
        <v>2818</v>
      </c>
      <c r="AJ44" s="97">
        <v>6295</v>
      </c>
      <c r="AK44" s="97">
        <v>19050</v>
      </c>
      <c r="AL44" s="97">
        <v>22050</v>
      </c>
      <c r="AM44" s="311">
        <f t="shared" si="25"/>
        <v>183430</v>
      </c>
      <c r="AN44" s="312">
        <f t="shared" si="25"/>
        <v>746770</v>
      </c>
      <c r="AO44" s="312">
        <f t="shared" si="25"/>
        <v>629500</v>
      </c>
      <c r="AP44" s="312">
        <f t="shared" si="25"/>
        <v>0</v>
      </c>
      <c r="AQ44" s="313">
        <f t="shared" si="25"/>
        <v>110250</v>
      </c>
      <c r="AR44" s="311">
        <f>SUM(Tabla1[[#This Row],[COSTO OPERATIVO ACIDO]:[COSTO OPERATIVO CATIONICO]])</f>
        <v>1669950</v>
      </c>
      <c r="AS44" s="311">
        <v>3599</v>
      </c>
      <c r="AT44" s="314">
        <f t="shared" si="39"/>
        <v>3479.0625</v>
      </c>
      <c r="AU44" s="220">
        <f>IFERROR(Tabla1[[#This Row],[CAUDAL TOTAL TRATADO GEM ]]/Tabla1[[#This Row],[CAUDAL DE TRATAMIENTO]],0)</f>
        <v>6</v>
      </c>
    </row>
    <row r="45" spans="1:47" ht="15.75" thickBot="1" x14ac:dyDescent="0.3">
      <c r="A45" s="431">
        <f t="shared" ref="A45:A46" si="47">+A44</f>
        <v>46127</v>
      </c>
      <c r="B45" s="96">
        <v>15</v>
      </c>
      <c r="C45" s="213" t="s">
        <v>282</v>
      </c>
      <c r="D45" s="214">
        <v>44</v>
      </c>
      <c r="E45" s="214" t="s">
        <v>77</v>
      </c>
      <c r="F45" s="315">
        <v>2330</v>
      </c>
      <c r="G45" s="316">
        <v>5730</v>
      </c>
      <c r="H45" s="316">
        <v>4150</v>
      </c>
      <c r="I45" s="316">
        <f>+I44-0</f>
        <v>210</v>
      </c>
      <c r="J45" s="316">
        <f>+J44-5</f>
        <v>320</v>
      </c>
      <c r="K45" s="325">
        <v>17761</v>
      </c>
      <c r="L45" s="219">
        <f t="shared" si="38"/>
        <v>400</v>
      </c>
      <c r="M45" s="219">
        <v>80</v>
      </c>
      <c r="N45" s="300">
        <f>F45-F46</f>
        <v>30</v>
      </c>
      <c r="O45" s="328">
        <f t="shared" si="23"/>
        <v>130</v>
      </c>
      <c r="P45" s="300">
        <f t="shared" si="24"/>
        <v>50</v>
      </c>
      <c r="Q45" s="300">
        <f t="shared" si="24"/>
        <v>0</v>
      </c>
      <c r="R45" s="298">
        <f t="shared" si="24"/>
        <v>10</v>
      </c>
      <c r="S45" s="306">
        <f t="shared" si="6"/>
        <v>39</v>
      </c>
      <c r="T45" s="307">
        <f t="shared" si="7"/>
        <v>172.25</v>
      </c>
      <c r="U45" s="307">
        <f t="shared" si="8"/>
        <v>62.5</v>
      </c>
      <c r="V45" s="317">
        <f>Tabla1[[#This Row],[CONSUMO POL ANIONICO (KG)]]</f>
        <v>0</v>
      </c>
      <c r="W45" s="301">
        <f>Tabla1[[#This Row],[CONSUMO POL CATIONICO (KG)]]</f>
        <v>10</v>
      </c>
      <c r="X45" s="318">
        <f t="shared" si="9"/>
        <v>97.5</v>
      </c>
      <c r="Y45" s="317">
        <f t="shared" si="10"/>
        <v>430.625</v>
      </c>
      <c r="Z45" s="317">
        <f t="shared" si="11"/>
        <v>156.25</v>
      </c>
      <c r="AA45" s="317">
        <f t="shared" si="12"/>
        <v>0</v>
      </c>
      <c r="AB45" s="301">
        <f t="shared" si="13"/>
        <v>25</v>
      </c>
      <c r="AC45" s="308">
        <v>1.3</v>
      </c>
      <c r="AD45" s="308">
        <v>1.325</v>
      </c>
      <c r="AE45" s="308">
        <v>1.25</v>
      </c>
      <c r="AF45" s="309">
        <v>2500</v>
      </c>
      <c r="AG45" s="310">
        <v>2500</v>
      </c>
      <c r="AH45" s="97">
        <v>830</v>
      </c>
      <c r="AI45" s="97">
        <v>2818</v>
      </c>
      <c r="AJ45" s="97">
        <v>6295</v>
      </c>
      <c r="AK45" s="97">
        <v>19050</v>
      </c>
      <c r="AL45" s="97">
        <v>22050</v>
      </c>
      <c r="AM45" s="319">
        <f t="shared" si="25"/>
        <v>32370</v>
      </c>
      <c r="AN45" s="314">
        <f t="shared" si="25"/>
        <v>485400.5</v>
      </c>
      <c r="AO45" s="314">
        <f t="shared" si="25"/>
        <v>393437.5</v>
      </c>
      <c r="AP45" s="314">
        <f t="shared" si="25"/>
        <v>0</v>
      </c>
      <c r="AQ45" s="320">
        <f t="shared" si="25"/>
        <v>220500</v>
      </c>
      <c r="AR45" s="311">
        <f>SUM(Tabla1[[#This Row],[COSTO OPERATIVO ACIDO]:[COSTO OPERATIVO CATIONICO]])</f>
        <v>1131708</v>
      </c>
      <c r="AS45" s="319">
        <v>3599</v>
      </c>
      <c r="AT45" s="314">
        <f t="shared" si="39"/>
        <v>2829.27</v>
      </c>
      <c r="AU45" s="220">
        <f>IFERROR(Tabla1[[#This Row],[CAUDAL TOTAL TRATADO GEM ]]/Tabla1[[#This Row],[CAUDAL DE TRATAMIENTO]],0)</f>
        <v>5</v>
      </c>
    </row>
    <row r="46" spans="1:47" thickBot="1" x14ac:dyDescent="0.3">
      <c r="A46" s="432">
        <f t="shared" si="47"/>
        <v>46127</v>
      </c>
      <c r="B46" s="96">
        <v>15</v>
      </c>
      <c r="C46" s="215" t="s">
        <v>30</v>
      </c>
      <c r="D46" s="216">
        <v>45</v>
      </c>
      <c r="E46" s="216" t="s">
        <v>76</v>
      </c>
      <c r="F46" s="315">
        <v>2300</v>
      </c>
      <c r="G46" s="316">
        <v>5600</v>
      </c>
      <c r="H46" s="316">
        <v>4100</v>
      </c>
      <c r="I46" s="316">
        <f>+I45-0</f>
        <v>210</v>
      </c>
      <c r="J46" s="316">
        <f>+J45-10</f>
        <v>310</v>
      </c>
      <c r="K46" s="326">
        <v>17766</v>
      </c>
      <c r="L46" s="221">
        <f t="shared" si="38"/>
        <v>320</v>
      </c>
      <c r="M46" s="221">
        <v>80</v>
      </c>
      <c r="N46" s="611">
        <f>F46-F47+2000</f>
        <v>0</v>
      </c>
      <c r="O46" s="612">
        <f>G46-G47+2000</f>
        <v>20</v>
      </c>
      <c r="P46" s="302">
        <f t="shared" si="24"/>
        <v>50</v>
      </c>
      <c r="Q46" s="302">
        <f t="shared" si="24"/>
        <v>5</v>
      </c>
      <c r="R46" s="298">
        <f t="shared" si="24"/>
        <v>5</v>
      </c>
      <c r="S46" s="306">
        <f t="shared" si="6"/>
        <v>0</v>
      </c>
      <c r="T46" s="307">
        <f t="shared" si="7"/>
        <v>26.5</v>
      </c>
      <c r="U46" s="307">
        <f t="shared" si="8"/>
        <v>62.5</v>
      </c>
      <c r="V46" s="321">
        <f>Tabla1[[#This Row],[CONSUMO POL ANIONICO (KG)]]</f>
        <v>5</v>
      </c>
      <c r="W46" s="303">
        <f>Tabla1[[#This Row],[CONSUMO POL CATIONICO (KG)]]</f>
        <v>5</v>
      </c>
      <c r="X46" s="318">
        <f t="shared" si="9"/>
        <v>0</v>
      </c>
      <c r="Y46" s="321">
        <f t="shared" si="10"/>
        <v>82.8125</v>
      </c>
      <c r="Z46" s="321">
        <f t="shared" si="11"/>
        <v>195.3125</v>
      </c>
      <c r="AA46" s="321">
        <f t="shared" si="12"/>
        <v>15.625</v>
      </c>
      <c r="AB46" s="303">
        <f t="shared" si="13"/>
        <v>15.625</v>
      </c>
      <c r="AC46" s="308">
        <v>1.3</v>
      </c>
      <c r="AD46" s="308">
        <v>1.325</v>
      </c>
      <c r="AE46" s="308">
        <v>1.25</v>
      </c>
      <c r="AF46" s="309">
        <v>2500</v>
      </c>
      <c r="AG46" s="310">
        <v>2500</v>
      </c>
      <c r="AH46" s="97">
        <v>830</v>
      </c>
      <c r="AI46" s="97">
        <v>2818</v>
      </c>
      <c r="AJ46" s="97">
        <v>6295</v>
      </c>
      <c r="AK46" s="97">
        <v>19050</v>
      </c>
      <c r="AL46" s="97">
        <v>22050</v>
      </c>
      <c r="AM46" s="319">
        <f t="shared" si="25"/>
        <v>0</v>
      </c>
      <c r="AN46" s="322">
        <f t="shared" si="25"/>
        <v>74677</v>
      </c>
      <c r="AO46" s="322">
        <f t="shared" si="25"/>
        <v>393437.5</v>
      </c>
      <c r="AP46" s="322">
        <f t="shared" si="25"/>
        <v>95250</v>
      </c>
      <c r="AQ46" s="323">
        <f t="shared" si="25"/>
        <v>110250</v>
      </c>
      <c r="AR46" s="311">
        <f>SUM(Tabla1[[#This Row],[COSTO OPERATIVO ACIDO]:[COSTO OPERATIVO CATIONICO]])</f>
        <v>673614.5</v>
      </c>
      <c r="AS46" s="319">
        <v>3599</v>
      </c>
      <c r="AT46" s="314">
        <f t="shared" si="39"/>
        <v>2105.0453124999999</v>
      </c>
      <c r="AU46" s="220">
        <f>IFERROR(Tabla1[[#This Row],[CAUDAL TOTAL TRATADO GEM ]]/Tabla1[[#This Row],[CAUDAL DE TRATAMIENTO]],0)</f>
        <v>4</v>
      </c>
    </row>
    <row r="47" spans="1:47" thickBot="1" x14ac:dyDescent="0.3">
      <c r="A47" s="116">
        <f t="shared" ref="A47" si="48">+A46+1</f>
        <v>46128</v>
      </c>
      <c r="B47" s="96">
        <v>16</v>
      </c>
      <c r="C47" s="211" t="s">
        <v>283</v>
      </c>
      <c r="D47" s="212">
        <v>46</v>
      </c>
      <c r="E47" s="212" t="s">
        <v>75</v>
      </c>
      <c r="F47" s="304">
        <v>4300</v>
      </c>
      <c r="G47" s="305">
        <v>7580</v>
      </c>
      <c r="H47" s="305">
        <v>4050</v>
      </c>
      <c r="I47" s="305">
        <f>+I46-5</f>
        <v>205</v>
      </c>
      <c r="J47" s="305">
        <f>+J46-5</f>
        <v>305</v>
      </c>
      <c r="K47" s="324">
        <v>17770</v>
      </c>
      <c r="L47" s="220">
        <f t="shared" si="38"/>
        <v>560</v>
      </c>
      <c r="M47" s="220">
        <v>80</v>
      </c>
      <c r="N47" s="298">
        <f t="shared" si="23"/>
        <v>100</v>
      </c>
      <c r="O47" s="327">
        <f t="shared" si="23"/>
        <v>220</v>
      </c>
      <c r="P47" s="298">
        <f t="shared" si="24"/>
        <v>80</v>
      </c>
      <c r="Q47" s="298">
        <f t="shared" si="24"/>
        <v>5</v>
      </c>
      <c r="R47" s="298">
        <f t="shared" si="24"/>
        <v>5</v>
      </c>
      <c r="S47" s="306">
        <f t="shared" si="6"/>
        <v>130</v>
      </c>
      <c r="T47" s="307">
        <f t="shared" si="7"/>
        <v>291.5</v>
      </c>
      <c r="U47" s="307">
        <f t="shared" si="8"/>
        <v>100</v>
      </c>
      <c r="V47" s="307">
        <f>Tabla1[[#This Row],[CONSUMO POL ANIONICO (KG)]]</f>
        <v>5</v>
      </c>
      <c r="W47" s="299">
        <f>Tabla1[[#This Row],[CONSUMO POL CATIONICO (KG)]]</f>
        <v>5</v>
      </c>
      <c r="X47" s="306">
        <f t="shared" si="9"/>
        <v>232.14285714285714</v>
      </c>
      <c r="Y47" s="307">
        <f t="shared" si="10"/>
        <v>520.53571428571433</v>
      </c>
      <c r="Z47" s="307">
        <f t="shared" si="11"/>
        <v>178.57142857142858</v>
      </c>
      <c r="AA47" s="307">
        <f t="shared" si="12"/>
        <v>8.9285714285714288</v>
      </c>
      <c r="AB47" s="299">
        <f t="shared" si="13"/>
        <v>8.9285714285714288</v>
      </c>
      <c r="AC47" s="308">
        <v>1.3</v>
      </c>
      <c r="AD47" s="308">
        <v>1.325</v>
      </c>
      <c r="AE47" s="308">
        <v>1.25</v>
      </c>
      <c r="AF47" s="309">
        <v>2500</v>
      </c>
      <c r="AG47" s="310">
        <v>2500</v>
      </c>
      <c r="AH47" s="97">
        <v>830</v>
      </c>
      <c r="AI47" s="97">
        <v>2818</v>
      </c>
      <c r="AJ47" s="97">
        <v>6295</v>
      </c>
      <c r="AK47" s="97">
        <v>19050</v>
      </c>
      <c r="AL47" s="97">
        <v>22050</v>
      </c>
      <c r="AM47" s="311">
        <f t="shared" si="25"/>
        <v>107900</v>
      </c>
      <c r="AN47" s="312">
        <f t="shared" si="25"/>
        <v>821447</v>
      </c>
      <c r="AO47" s="312">
        <f t="shared" si="25"/>
        <v>629500</v>
      </c>
      <c r="AP47" s="312">
        <f t="shared" si="25"/>
        <v>95250</v>
      </c>
      <c r="AQ47" s="313">
        <f t="shared" si="25"/>
        <v>110250</v>
      </c>
      <c r="AR47" s="311">
        <f>SUM(Tabla1[[#This Row],[COSTO OPERATIVO ACIDO]:[COSTO OPERATIVO CATIONICO]])</f>
        <v>1764347</v>
      </c>
      <c r="AS47" s="311">
        <v>3599</v>
      </c>
      <c r="AT47" s="314">
        <f t="shared" si="39"/>
        <v>3150.6196428571429</v>
      </c>
      <c r="AU47" s="220">
        <f>IFERROR(Tabla1[[#This Row],[CAUDAL TOTAL TRATADO GEM ]]/Tabla1[[#This Row],[CAUDAL DE TRATAMIENTO]],0)</f>
        <v>7</v>
      </c>
    </row>
    <row r="48" spans="1:47" ht="15.75" thickBot="1" x14ac:dyDescent="0.3">
      <c r="A48" s="431">
        <f t="shared" ref="A48:A49" si="49">+A47</f>
        <v>46128</v>
      </c>
      <c r="B48" s="96">
        <v>16</v>
      </c>
      <c r="C48" s="213" t="s">
        <v>284</v>
      </c>
      <c r="D48" s="214">
        <v>47</v>
      </c>
      <c r="E48" s="214" t="s">
        <v>77</v>
      </c>
      <c r="F48" s="315">
        <v>4200</v>
      </c>
      <c r="G48" s="316">
        <v>7360</v>
      </c>
      <c r="H48" s="316">
        <v>3970</v>
      </c>
      <c r="I48" s="316">
        <f>+I47-5</f>
        <v>200</v>
      </c>
      <c r="J48" s="316">
        <f>+J47-5</f>
        <v>300</v>
      </c>
      <c r="K48" s="325">
        <v>17777</v>
      </c>
      <c r="L48" s="219">
        <f t="shared" si="38"/>
        <v>560</v>
      </c>
      <c r="M48" s="219">
        <v>80</v>
      </c>
      <c r="N48" s="300">
        <f t="shared" si="23"/>
        <v>90</v>
      </c>
      <c r="O48" s="328">
        <f t="shared" si="23"/>
        <v>140</v>
      </c>
      <c r="P48" s="300">
        <f t="shared" si="24"/>
        <v>50</v>
      </c>
      <c r="Q48" s="300">
        <f t="shared" si="24"/>
        <v>0</v>
      </c>
      <c r="R48" s="298">
        <f t="shared" si="24"/>
        <v>0</v>
      </c>
      <c r="S48" s="306">
        <f t="shared" si="6"/>
        <v>117</v>
      </c>
      <c r="T48" s="307">
        <f t="shared" si="7"/>
        <v>185.5</v>
      </c>
      <c r="U48" s="307">
        <f t="shared" si="8"/>
        <v>62.5</v>
      </c>
      <c r="V48" s="317">
        <f>Tabla1[[#This Row],[CONSUMO POL ANIONICO (KG)]]</f>
        <v>0</v>
      </c>
      <c r="W48" s="301">
        <f>Tabla1[[#This Row],[CONSUMO POL CATIONICO (KG)]]</f>
        <v>0</v>
      </c>
      <c r="X48" s="318">
        <f t="shared" si="9"/>
        <v>208.92857142857142</v>
      </c>
      <c r="Y48" s="317">
        <f t="shared" si="10"/>
        <v>331.25</v>
      </c>
      <c r="Z48" s="317">
        <f t="shared" si="11"/>
        <v>111.60714285714286</v>
      </c>
      <c r="AA48" s="317">
        <f t="shared" si="12"/>
        <v>0</v>
      </c>
      <c r="AB48" s="301">
        <f t="shared" si="13"/>
        <v>0</v>
      </c>
      <c r="AC48" s="308">
        <v>1.3</v>
      </c>
      <c r="AD48" s="308">
        <v>1.325</v>
      </c>
      <c r="AE48" s="308">
        <v>1.25</v>
      </c>
      <c r="AF48" s="309">
        <v>2500</v>
      </c>
      <c r="AG48" s="310">
        <v>2500</v>
      </c>
      <c r="AH48" s="97">
        <v>830</v>
      </c>
      <c r="AI48" s="97">
        <v>2818</v>
      </c>
      <c r="AJ48" s="97">
        <v>6295</v>
      </c>
      <c r="AK48" s="97">
        <v>19050</v>
      </c>
      <c r="AL48" s="97">
        <v>22050</v>
      </c>
      <c r="AM48" s="319">
        <f t="shared" si="25"/>
        <v>97110</v>
      </c>
      <c r="AN48" s="314">
        <f t="shared" si="25"/>
        <v>522739</v>
      </c>
      <c r="AO48" s="314">
        <f t="shared" si="25"/>
        <v>393437.5</v>
      </c>
      <c r="AP48" s="314">
        <f t="shared" si="25"/>
        <v>0</v>
      </c>
      <c r="AQ48" s="320">
        <f t="shared" si="25"/>
        <v>0</v>
      </c>
      <c r="AR48" s="311">
        <f>SUM(Tabla1[[#This Row],[COSTO OPERATIVO ACIDO]:[COSTO OPERATIVO CATIONICO]])</f>
        <v>1013286.5</v>
      </c>
      <c r="AS48" s="319">
        <v>3599</v>
      </c>
      <c r="AT48" s="314">
        <f t="shared" si="39"/>
        <v>1809.4401785714285</v>
      </c>
      <c r="AU48" s="220">
        <f>IFERROR(Tabla1[[#This Row],[CAUDAL TOTAL TRATADO GEM ]]/Tabla1[[#This Row],[CAUDAL DE TRATAMIENTO]],0)</f>
        <v>7</v>
      </c>
    </row>
    <row r="49" spans="1:47" thickBot="1" x14ac:dyDescent="0.3">
      <c r="A49" s="432">
        <f t="shared" si="49"/>
        <v>46128</v>
      </c>
      <c r="B49" s="96">
        <v>16</v>
      </c>
      <c r="C49" s="215" t="s">
        <v>30</v>
      </c>
      <c r="D49" s="216">
        <v>48</v>
      </c>
      <c r="E49" s="216" t="s">
        <v>76</v>
      </c>
      <c r="F49" s="315">
        <v>4110</v>
      </c>
      <c r="G49" s="316">
        <v>7220</v>
      </c>
      <c r="H49" s="316">
        <v>3920</v>
      </c>
      <c r="I49" s="316">
        <f>+I48-0</f>
        <v>200</v>
      </c>
      <c r="J49" s="316">
        <f>+J48-0</f>
        <v>300</v>
      </c>
      <c r="K49" s="326">
        <v>17784</v>
      </c>
      <c r="L49" s="221">
        <f t="shared" si="38"/>
        <v>480</v>
      </c>
      <c r="M49" s="221">
        <v>80</v>
      </c>
      <c r="N49" s="302">
        <f t="shared" si="23"/>
        <v>130</v>
      </c>
      <c r="O49" s="614">
        <f>G49-G50+2000-150</f>
        <v>150</v>
      </c>
      <c r="P49" s="302">
        <f t="shared" si="24"/>
        <v>70</v>
      </c>
      <c r="Q49" s="302">
        <f t="shared" si="24"/>
        <v>5</v>
      </c>
      <c r="R49" s="298">
        <f t="shared" si="24"/>
        <v>5</v>
      </c>
      <c r="S49" s="306">
        <f t="shared" si="6"/>
        <v>169</v>
      </c>
      <c r="T49" s="307">
        <f t="shared" si="7"/>
        <v>198.75</v>
      </c>
      <c r="U49" s="307">
        <f t="shared" si="8"/>
        <v>87.5</v>
      </c>
      <c r="V49" s="321">
        <f>Tabla1[[#This Row],[CONSUMO POL ANIONICO (KG)]]</f>
        <v>5</v>
      </c>
      <c r="W49" s="303">
        <f>Tabla1[[#This Row],[CONSUMO POL CATIONICO (KG)]]</f>
        <v>5</v>
      </c>
      <c r="X49" s="318">
        <f t="shared" si="9"/>
        <v>352.08333333333331</v>
      </c>
      <c r="Y49" s="321">
        <f t="shared" si="10"/>
        <v>414.0625</v>
      </c>
      <c r="Z49" s="321">
        <f t="shared" si="11"/>
        <v>182.29166666666666</v>
      </c>
      <c r="AA49" s="321">
        <f t="shared" si="12"/>
        <v>10.416666666666666</v>
      </c>
      <c r="AB49" s="303">
        <f t="shared" si="13"/>
        <v>10.416666666666666</v>
      </c>
      <c r="AC49" s="308">
        <v>1.3</v>
      </c>
      <c r="AD49" s="308">
        <v>1.325</v>
      </c>
      <c r="AE49" s="308">
        <v>1.25</v>
      </c>
      <c r="AF49" s="309">
        <v>2500</v>
      </c>
      <c r="AG49" s="310">
        <v>2500</v>
      </c>
      <c r="AH49" s="97">
        <v>830</v>
      </c>
      <c r="AI49" s="97">
        <v>2818</v>
      </c>
      <c r="AJ49" s="97">
        <v>6295</v>
      </c>
      <c r="AK49" s="97">
        <v>19050</v>
      </c>
      <c r="AL49" s="97">
        <v>22050</v>
      </c>
      <c r="AM49" s="319">
        <f t="shared" si="25"/>
        <v>140270</v>
      </c>
      <c r="AN49" s="322">
        <f t="shared" si="25"/>
        <v>560077.5</v>
      </c>
      <c r="AO49" s="322">
        <f t="shared" si="25"/>
        <v>550812.5</v>
      </c>
      <c r="AP49" s="322">
        <f t="shared" si="25"/>
        <v>95250</v>
      </c>
      <c r="AQ49" s="323">
        <f t="shared" si="25"/>
        <v>110250</v>
      </c>
      <c r="AR49" s="311">
        <f>SUM(Tabla1[[#This Row],[COSTO OPERATIVO ACIDO]:[COSTO OPERATIVO CATIONICO]])</f>
        <v>1456660</v>
      </c>
      <c r="AS49" s="319">
        <v>3599</v>
      </c>
      <c r="AT49" s="314">
        <f t="shared" si="39"/>
        <v>3034.7083333333335</v>
      </c>
      <c r="AU49" s="220">
        <f>IFERROR(Tabla1[[#This Row],[CAUDAL TOTAL TRATADO GEM ]]/Tabla1[[#This Row],[CAUDAL DE TRATAMIENTO]],0)</f>
        <v>6</v>
      </c>
    </row>
    <row r="50" spans="1:47" thickBot="1" x14ac:dyDescent="0.3">
      <c r="A50" s="116">
        <f t="shared" ref="A50" si="50">+A49+1</f>
        <v>46129</v>
      </c>
      <c r="B50" s="96">
        <v>17</v>
      </c>
      <c r="C50" s="211" t="s">
        <v>285</v>
      </c>
      <c r="D50" s="212">
        <v>49</v>
      </c>
      <c r="E50" s="212" t="s">
        <v>75</v>
      </c>
      <c r="F50" s="304">
        <v>3980</v>
      </c>
      <c r="G50" s="305">
        <v>8920</v>
      </c>
      <c r="H50" s="305">
        <v>3850</v>
      </c>
      <c r="I50" s="305">
        <f>+I49-5</f>
        <v>195</v>
      </c>
      <c r="J50" s="305">
        <f>+J49-5</f>
        <v>295</v>
      </c>
      <c r="K50" s="324">
        <v>17790</v>
      </c>
      <c r="L50" s="220">
        <f t="shared" si="38"/>
        <v>560</v>
      </c>
      <c r="M50" s="220">
        <v>80</v>
      </c>
      <c r="N50" s="298">
        <f t="shared" si="23"/>
        <v>100</v>
      </c>
      <c r="O50" s="327">
        <f t="shared" si="23"/>
        <v>190</v>
      </c>
      <c r="P50" s="298">
        <f t="shared" si="24"/>
        <v>90</v>
      </c>
      <c r="Q50" s="298">
        <f t="shared" si="24"/>
        <v>0</v>
      </c>
      <c r="R50" s="298">
        <f t="shared" si="24"/>
        <v>10</v>
      </c>
      <c r="S50" s="306">
        <f t="shared" si="6"/>
        <v>130</v>
      </c>
      <c r="T50" s="307">
        <f t="shared" si="7"/>
        <v>251.75</v>
      </c>
      <c r="U50" s="307">
        <f t="shared" si="8"/>
        <v>112.5</v>
      </c>
      <c r="V50" s="307">
        <f>Tabla1[[#This Row],[CONSUMO POL ANIONICO (KG)]]</f>
        <v>0</v>
      </c>
      <c r="W50" s="299">
        <f>Tabla1[[#This Row],[CONSUMO POL CATIONICO (KG)]]</f>
        <v>10</v>
      </c>
      <c r="X50" s="306">
        <f t="shared" si="9"/>
        <v>232.14285714285714</v>
      </c>
      <c r="Y50" s="307">
        <f t="shared" si="10"/>
        <v>449.55357142857144</v>
      </c>
      <c r="Z50" s="307">
        <f t="shared" si="11"/>
        <v>200.89285714285714</v>
      </c>
      <c r="AA50" s="307">
        <f t="shared" si="12"/>
        <v>0</v>
      </c>
      <c r="AB50" s="299">
        <f t="shared" si="13"/>
        <v>17.857142857142858</v>
      </c>
      <c r="AC50" s="308">
        <v>1.3</v>
      </c>
      <c r="AD50" s="308">
        <v>1.325</v>
      </c>
      <c r="AE50" s="308">
        <v>1.25</v>
      </c>
      <c r="AF50" s="309">
        <v>2500</v>
      </c>
      <c r="AG50" s="310">
        <v>2500</v>
      </c>
      <c r="AH50" s="97">
        <v>830</v>
      </c>
      <c r="AI50" s="97">
        <v>2818</v>
      </c>
      <c r="AJ50" s="97">
        <v>6295</v>
      </c>
      <c r="AK50" s="97">
        <v>19050</v>
      </c>
      <c r="AL50" s="97">
        <v>22050</v>
      </c>
      <c r="AM50" s="311">
        <f t="shared" si="25"/>
        <v>107900</v>
      </c>
      <c r="AN50" s="312">
        <f t="shared" si="25"/>
        <v>709431.5</v>
      </c>
      <c r="AO50" s="312">
        <f t="shared" si="25"/>
        <v>708187.5</v>
      </c>
      <c r="AP50" s="312">
        <f t="shared" si="25"/>
        <v>0</v>
      </c>
      <c r="AQ50" s="313">
        <f t="shared" si="25"/>
        <v>220500</v>
      </c>
      <c r="AR50" s="311">
        <f>SUM(Tabla1[[#This Row],[COSTO OPERATIVO ACIDO]:[COSTO OPERATIVO CATIONICO]])</f>
        <v>1746019</v>
      </c>
      <c r="AS50" s="311">
        <v>3599</v>
      </c>
      <c r="AT50" s="314">
        <f t="shared" si="39"/>
        <v>3117.8910714285716</v>
      </c>
      <c r="AU50" s="220">
        <f>IFERROR(Tabla1[[#This Row],[CAUDAL TOTAL TRATADO GEM ]]/Tabla1[[#This Row],[CAUDAL DE TRATAMIENTO]],0)</f>
        <v>7</v>
      </c>
    </row>
    <row r="51" spans="1:47" ht="15.75" thickBot="1" x14ac:dyDescent="0.3">
      <c r="A51" s="431">
        <f t="shared" ref="A51:A52" si="51">+A50</f>
        <v>46129</v>
      </c>
      <c r="B51" s="96">
        <v>17</v>
      </c>
      <c r="C51" s="213" t="s">
        <v>286</v>
      </c>
      <c r="D51" s="214">
        <v>50</v>
      </c>
      <c r="E51" s="214" t="s">
        <v>77</v>
      </c>
      <c r="F51" s="315">
        <v>3880</v>
      </c>
      <c r="G51" s="316">
        <v>8730</v>
      </c>
      <c r="H51" s="316">
        <v>3760</v>
      </c>
      <c r="I51" s="316">
        <f>+I50-0</f>
        <v>195</v>
      </c>
      <c r="J51" s="316">
        <f>+J50-10</f>
        <v>285</v>
      </c>
      <c r="K51" s="325">
        <v>17797</v>
      </c>
      <c r="L51" s="219">
        <f t="shared" si="38"/>
        <v>320</v>
      </c>
      <c r="M51" s="219">
        <v>80</v>
      </c>
      <c r="N51" s="300">
        <f t="shared" si="23"/>
        <v>200</v>
      </c>
      <c r="O51" s="328">
        <f t="shared" si="23"/>
        <v>180</v>
      </c>
      <c r="P51" s="300">
        <f t="shared" si="24"/>
        <v>70</v>
      </c>
      <c r="Q51" s="300">
        <f t="shared" si="24"/>
        <v>0</v>
      </c>
      <c r="R51" s="298">
        <f t="shared" si="24"/>
        <v>0</v>
      </c>
      <c r="S51" s="306">
        <f t="shared" si="6"/>
        <v>260</v>
      </c>
      <c r="T51" s="307">
        <f t="shared" si="7"/>
        <v>238.5</v>
      </c>
      <c r="U51" s="307">
        <f t="shared" si="8"/>
        <v>87.5</v>
      </c>
      <c r="V51" s="317">
        <f>Tabla1[[#This Row],[CONSUMO POL ANIONICO (KG)]]</f>
        <v>0</v>
      </c>
      <c r="W51" s="301">
        <f>Tabla1[[#This Row],[CONSUMO POL CATIONICO (KG)]]</f>
        <v>0</v>
      </c>
      <c r="X51" s="318">
        <f t="shared" si="9"/>
        <v>812.5</v>
      </c>
      <c r="Y51" s="317">
        <f t="shared" si="10"/>
        <v>745.3125</v>
      </c>
      <c r="Z51" s="317">
        <f t="shared" si="11"/>
        <v>273.4375</v>
      </c>
      <c r="AA51" s="317">
        <f t="shared" si="12"/>
        <v>0</v>
      </c>
      <c r="AB51" s="301">
        <f t="shared" si="13"/>
        <v>0</v>
      </c>
      <c r="AC51" s="308">
        <v>1.3</v>
      </c>
      <c r="AD51" s="308">
        <v>1.325</v>
      </c>
      <c r="AE51" s="308">
        <v>1.25</v>
      </c>
      <c r="AF51" s="309">
        <v>2500</v>
      </c>
      <c r="AG51" s="310">
        <v>2500</v>
      </c>
      <c r="AH51" s="97">
        <v>830</v>
      </c>
      <c r="AI51" s="97">
        <v>2818</v>
      </c>
      <c r="AJ51" s="97">
        <v>6295</v>
      </c>
      <c r="AK51" s="97">
        <v>19050</v>
      </c>
      <c r="AL51" s="97">
        <v>22050</v>
      </c>
      <c r="AM51" s="319">
        <f t="shared" si="25"/>
        <v>215800</v>
      </c>
      <c r="AN51" s="314">
        <f t="shared" si="25"/>
        <v>672093</v>
      </c>
      <c r="AO51" s="314">
        <f t="shared" si="25"/>
        <v>550812.5</v>
      </c>
      <c r="AP51" s="314">
        <f t="shared" si="25"/>
        <v>0</v>
      </c>
      <c r="AQ51" s="320">
        <f t="shared" si="25"/>
        <v>0</v>
      </c>
      <c r="AR51" s="311">
        <f>SUM(Tabla1[[#This Row],[COSTO OPERATIVO ACIDO]:[COSTO OPERATIVO CATIONICO]])</f>
        <v>1438705.5</v>
      </c>
      <c r="AS51" s="319">
        <v>3599</v>
      </c>
      <c r="AT51" s="314">
        <f t="shared" si="39"/>
        <v>4495.9546874999996</v>
      </c>
      <c r="AU51" s="220">
        <f>IFERROR(Tabla1[[#This Row],[CAUDAL TOTAL TRATADO GEM ]]/Tabla1[[#This Row],[CAUDAL DE TRATAMIENTO]],0)</f>
        <v>4</v>
      </c>
    </row>
    <row r="52" spans="1:47" thickBot="1" x14ac:dyDescent="0.3">
      <c r="A52" s="432">
        <f t="shared" si="51"/>
        <v>46129</v>
      </c>
      <c r="B52" s="96">
        <v>17</v>
      </c>
      <c r="C52" s="215" t="s">
        <v>30</v>
      </c>
      <c r="D52" s="216">
        <v>51</v>
      </c>
      <c r="E52" s="216" t="s">
        <v>76</v>
      </c>
      <c r="F52" s="315">
        <v>3680</v>
      </c>
      <c r="G52" s="316">
        <v>8550</v>
      </c>
      <c r="H52" s="316">
        <v>3690</v>
      </c>
      <c r="I52" s="316">
        <f>+I51-0</f>
        <v>195</v>
      </c>
      <c r="J52" s="316">
        <f>+J51-0</f>
        <v>285</v>
      </c>
      <c r="K52" s="326">
        <v>17801</v>
      </c>
      <c r="L52" s="221">
        <f t="shared" si="38"/>
        <v>560</v>
      </c>
      <c r="M52" s="221">
        <v>80</v>
      </c>
      <c r="N52" s="302">
        <f t="shared" si="23"/>
        <v>260</v>
      </c>
      <c r="O52" s="329">
        <f t="shared" si="23"/>
        <v>170</v>
      </c>
      <c r="P52" s="302">
        <f t="shared" si="24"/>
        <v>90</v>
      </c>
      <c r="Q52" s="302">
        <f t="shared" si="24"/>
        <v>5</v>
      </c>
      <c r="R52" s="298">
        <f t="shared" si="24"/>
        <v>5</v>
      </c>
      <c r="S52" s="306">
        <f t="shared" si="6"/>
        <v>338</v>
      </c>
      <c r="T52" s="307">
        <f t="shared" si="7"/>
        <v>225.25</v>
      </c>
      <c r="U52" s="307">
        <f t="shared" si="8"/>
        <v>112.5</v>
      </c>
      <c r="V52" s="321">
        <f>Tabla1[[#This Row],[CONSUMO POL ANIONICO (KG)]]</f>
        <v>5</v>
      </c>
      <c r="W52" s="303">
        <f>Tabla1[[#This Row],[CONSUMO POL CATIONICO (KG)]]</f>
        <v>5</v>
      </c>
      <c r="X52" s="318">
        <f t="shared" si="9"/>
        <v>603.57142857142856</v>
      </c>
      <c r="Y52" s="321">
        <f t="shared" si="10"/>
        <v>402.23214285714283</v>
      </c>
      <c r="Z52" s="321">
        <f t="shared" si="11"/>
        <v>200.89285714285714</v>
      </c>
      <c r="AA52" s="321">
        <f t="shared" si="12"/>
        <v>8.9285714285714288</v>
      </c>
      <c r="AB52" s="303">
        <f t="shared" si="13"/>
        <v>8.9285714285714288</v>
      </c>
      <c r="AC52" s="308">
        <v>1.3</v>
      </c>
      <c r="AD52" s="308">
        <v>1.325</v>
      </c>
      <c r="AE52" s="308">
        <v>1.25</v>
      </c>
      <c r="AF52" s="309">
        <v>2500</v>
      </c>
      <c r="AG52" s="310">
        <v>2500</v>
      </c>
      <c r="AH52" s="97">
        <v>830</v>
      </c>
      <c r="AI52" s="97">
        <v>2818</v>
      </c>
      <c r="AJ52" s="97">
        <v>6295</v>
      </c>
      <c r="AK52" s="97">
        <v>19050</v>
      </c>
      <c r="AL52" s="97">
        <v>22050</v>
      </c>
      <c r="AM52" s="319">
        <f t="shared" si="25"/>
        <v>280540</v>
      </c>
      <c r="AN52" s="322">
        <f t="shared" si="25"/>
        <v>634754.5</v>
      </c>
      <c r="AO52" s="322">
        <f t="shared" si="25"/>
        <v>708187.5</v>
      </c>
      <c r="AP52" s="322">
        <f t="shared" si="25"/>
        <v>95250</v>
      </c>
      <c r="AQ52" s="323">
        <f t="shared" si="25"/>
        <v>110250</v>
      </c>
      <c r="AR52" s="311">
        <f>SUM(Tabla1[[#This Row],[COSTO OPERATIVO ACIDO]:[COSTO OPERATIVO CATIONICO]])</f>
        <v>1828982</v>
      </c>
      <c r="AS52" s="319">
        <v>3599</v>
      </c>
      <c r="AT52" s="314">
        <f t="shared" si="39"/>
        <v>3266.0392857142856</v>
      </c>
      <c r="AU52" s="220">
        <f>IFERROR(Tabla1[[#This Row],[CAUDAL TOTAL TRATADO GEM ]]/Tabla1[[#This Row],[CAUDAL DE TRATAMIENTO]],0)</f>
        <v>7</v>
      </c>
    </row>
    <row r="53" spans="1:47" thickBot="1" x14ac:dyDescent="0.3">
      <c r="A53" s="116">
        <f t="shared" ref="A53" si="52">+A52+1</f>
        <v>46130</v>
      </c>
      <c r="B53" s="96">
        <v>18</v>
      </c>
      <c r="C53" s="211" t="s">
        <v>287</v>
      </c>
      <c r="D53" s="212">
        <v>52</v>
      </c>
      <c r="E53" s="212" t="s">
        <v>75</v>
      </c>
      <c r="F53" s="304">
        <v>3420</v>
      </c>
      <c r="G53" s="305">
        <v>8380</v>
      </c>
      <c r="H53" s="305">
        <v>3600</v>
      </c>
      <c r="I53" s="305">
        <f>+I52-5</f>
        <v>190</v>
      </c>
      <c r="J53" s="305">
        <f t="shared" ref="J53" si="53">+J52-5</f>
        <v>280</v>
      </c>
      <c r="K53" s="324">
        <v>17808</v>
      </c>
      <c r="L53" s="220">
        <f t="shared" si="38"/>
        <v>640</v>
      </c>
      <c r="M53" s="220">
        <v>80</v>
      </c>
      <c r="N53" s="298">
        <f t="shared" si="23"/>
        <v>120</v>
      </c>
      <c r="O53" s="661">
        <f>G53-G54-150</f>
        <v>170</v>
      </c>
      <c r="P53" s="298">
        <f t="shared" si="24"/>
        <v>60</v>
      </c>
      <c r="Q53" s="298">
        <f t="shared" si="24"/>
        <v>0</v>
      </c>
      <c r="R53" s="298">
        <f t="shared" si="24"/>
        <v>10</v>
      </c>
      <c r="S53" s="306">
        <f t="shared" si="6"/>
        <v>156</v>
      </c>
      <c r="T53" s="307">
        <f t="shared" si="7"/>
        <v>225.25</v>
      </c>
      <c r="U53" s="307">
        <f t="shared" si="8"/>
        <v>75</v>
      </c>
      <c r="V53" s="307">
        <f>Tabla1[[#This Row],[CONSUMO POL ANIONICO (KG)]]</f>
        <v>0</v>
      </c>
      <c r="W53" s="299">
        <f>Tabla1[[#This Row],[CONSUMO POL CATIONICO (KG)]]</f>
        <v>10</v>
      </c>
      <c r="X53" s="306">
        <f t="shared" si="9"/>
        <v>243.75</v>
      </c>
      <c r="Y53" s="307">
        <f t="shared" si="10"/>
        <v>351.953125</v>
      </c>
      <c r="Z53" s="307">
        <f t="shared" si="11"/>
        <v>117.1875</v>
      </c>
      <c r="AA53" s="307">
        <f t="shared" si="12"/>
        <v>0</v>
      </c>
      <c r="AB53" s="299">
        <f t="shared" si="13"/>
        <v>15.625</v>
      </c>
      <c r="AC53" s="308">
        <v>1.3</v>
      </c>
      <c r="AD53" s="308">
        <v>1.325</v>
      </c>
      <c r="AE53" s="308">
        <v>1.25</v>
      </c>
      <c r="AF53" s="309">
        <v>2500</v>
      </c>
      <c r="AG53" s="310">
        <v>2500</v>
      </c>
      <c r="AH53" s="97">
        <v>830</v>
      </c>
      <c r="AI53" s="97">
        <v>2818</v>
      </c>
      <c r="AJ53" s="97">
        <v>6295</v>
      </c>
      <c r="AK53" s="97">
        <v>19050</v>
      </c>
      <c r="AL53" s="97">
        <v>22050</v>
      </c>
      <c r="AM53" s="311">
        <f t="shared" si="25"/>
        <v>129480</v>
      </c>
      <c r="AN53" s="312">
        <f t="shared" si="25"/>
        <v>634754.5</v>
      </c>
      <c r="AO53" s="312">
        <f t="shared" si="25"/>
        <v>472125</v>
      </c>
      <c r="AP53" s="312">
        <f t="shared" si="25"/>
        <v>0</v>
      </c>
      <c r="AQ53" s="313">
        <f t="shared" si="25"/>
        <v>220500</v>
      </c>
      <c r="AR53" s="311">
        <f>SUM(Tabla1[[#This Row],[COSTO OPERATIVO ACIDO]:[COSTO OPERATIVO CATIONICO]])</f>
        <v>1456859.5</v>
      </c>
      <c r="AS53" s="311">
        <v>3599</v>
      </c>
      <c r="AT53" s="314">
        <f t="shared" si="39"/>
        <v>2276.3429687500002</v>
      </c>
      <c r="AU53" s="220">
        <f>IFERROR(Tabla1[[#This Row],[CAUDAL TOTAL TRATADO GEM ]]/Tabla1[[#This Row],[CAUDAL DE TRATAMIENTO]],0)</f>
        <v>8</v>
      </c>
    </row>
    <row r="54" spans="1:47" ht="15.75" thickBot="1" x14ac:dyDescent="0.3">
      <c r="A54" s="431">
        <f t="shared" ref="A54:A55" si="54">+A53</f>
        <v>46130</v>
      </c>
      <c r="B54" s="96">
        <v>18</v>
      </c>
      <c r="C54" s="213" t="s">
        <v>288</v>
      </c>
      <c r="D54" s="214">
        <v>53</v>
      </c>
      <c r="E54" s="214" t="s">
        <v>77</v>
      </c>
      <c r="F54" s="315">
        <v>3300</v>
      </c>
      <c r="G54" s="316">
        <v>8060</v>
      </c>
      <c r="H54" s="316">
        <v>3540</v>
      </c>
      <c r="I54" s="316">
        <f>+I53-0</f>
        <v>190</v>
      </c>
      <c r="J54" s="316">
        <f t="shared" ref="J54" si="55">+J53-10</f>
        <v>270</v>
      </c>
      <c r="K54" s="325">
        <v>17816</v>
      </c>
      <c r="L54" s="219">
        <f t="shared" si="38"/>
        <v>640</v>
      </c>
      <c r="M54" s="219">
        <v>80</v>
      </c>
      <c r="N54" s="300">
        <f>F54-F55</f>
        <v>300</v>
      </c>
      <c r="O54" s="328">
        <f t="shared" si="23"/>
        <v>180</v>
      </c>
      <c r="P54" s="300">
        <f t="shared" si="24"/>
        <v>140</v>
      </c>
      <c r="Q54" s="300">
        <f t="shared" si="24"/>
        <v>0</v>
      </c>
      <c r="R54" s="298">
        <f t="shared" si="24"/>
        <v>0</v>
      </c>
      <c r="S54" s="306">
        <f t="shared" si="6"/>
        <v>390</v>
      </c>
      <c r="T54" s="307">
        <f t="shared" si="7"/>
        <v>238.5</v>
      </c>
      <c r="U54" s="307">
        <f t="shared" si="8"/>
        <v>175</v>
      </c>
      <c r="V54" s="317">
        <f>Tabla1[[#This Row],[CONSUMO POL ANIONICO (KG)]]</f>
        <v>0</v>
      </c>
      <c r="W54" s="301">
        <f>Tabla1[[#This Row],[CONSUMO POL CATIONICO (KG)]]</f>
        <v>0</v>
      </c>
      <c r="X54" s="318">
        <f t="shared" si="9"/>
        <v>609.375</v>
      </c>
      <c r="Y54" s="317">
        <f t="shared" si="10"/>
        <v>372.65625</v>
      </c>
      <c r="Z54" s="317">
        <f t="shared" si="11"/>
        <v>273.4375</v>
      </c>
      <c r="AA54" s="317">
        <f t="shared" si="12"/>
        <v>0</v>
      </c>
      <c r="AB54" s="301">
        <f t="shared" si="13"/>
        <v>0</v>
      </c>
      <c r="AC54" s="308">
        <v>1.3</v>
      </c>
      <c r="AD54" s="308">
        <v>1.325</v>
      </c>
      <c r="AE54" s="308">
        <v>1.25</v>
      </c>
      <c r="AF54" s="309">
        <v>2500</v>
      </c>
      <c r="AG54" s="310">
        <v>2500</v>
      </c>
      <c r="AH54" s="97">
        <v>830</v>
      </c>
      <c r="AI54" s="97">
        <v>2818</v>
      </c>
      <c r="AJ54" s="97">
        <v>6295</v>
      </c>
      <c r="AK54" s="97">
        <v>19050</v>
      </c>
      <c r="AL54" s="97">
        <v>22050</v>
      </c>
      <c r="AM54" s="319">
        <f t="shared" si="25"/>
        <v>323700</v>
      </c>
      <c r="AN54" s="314">
        <f t="shared" si="25"/>
        <v>672093</v>
      </c>
      <c r="AO54" s="314">
        <f t="shared" si="25"/>
        <v>1101625</v>
      </c>
      <c r="AP54" s="314">
        <f t="shared" si="25"/>
        <v>0</v>
      </c>
      <c r="AQ54" s="320">
        <f t="shared" si="25"/>
        <v>0</v>
      </c>
      <c r="AR54" s="311">
        <f>SUM(Tabla1[[#This Row],[COSTO OPERATIVO ACIDO]:[COSTO OPERATIVO CATIONICO]])</f>
        <v>2097418</v>
      </c>
      <c r="AS54" s="319">
        <v>3599</v>
      </c>
      <c r="AT54" s="314">
        <f t="shared" si="39"/>
        <v>3277.2156249999998</v>
      </c>
      <c r="AU54" s="220">
        <f>IFERROR(Tabla1[[#This Row],[CAUDAL TOTAL TRATADO GEM ]]/Tabla1[[#This Row],[CAUDAL DE TRATAMIENTO]],0)</f>
        <v>8</v>
      </c>
    </row>
    <row r="55" spans="1:47" thickBot="1" x14ac:dyDescent="0.3">
      <c r="A55" s="432">
        <f t="shared" si="54"/>
        <v>46130</v>
      </c>
      <c r="B55" s="96">
        <v>18</v>
      </c>
      <c r="C55" s="215" t="s">
        <v>30</v>
      </c>
      <c r="D55" s="216">
        <v>54</v>
      </c>
      <c r="E55" s="216" t="s">
        <v>76</v>
      </c>
      <c r="F55" s="315">
        <v>3000</v>
      </c>
      <c r="G55" s="316">
        <v>7880</v>
      </c>
      <c r="H55" s="316">
        <v>3400</v>
      </c>
      <c r="I55" s="316">
        <f>+I54-0</f>
        <v>190</v>
      </c>
      <c r="J55" s="316">
        <f t="shared" ref="J55" si="56">+J54-0</f>
        <v>270</v>
      </c>
      <c r="K55" s="326">
        <v>17824</v>
      </c>
      <c r="L55" s="221">
        <f t="shared" si="38"/>
        <v>400</v>
      </c>
      <c r="M55" s="221">
        <v>80</v>
      </c>
      <c r="N55" s="302">
        <f t="shared" si="23"/>
        <v>35</v>
      </c>
      <c r="O55" s="329">
        <f t="shared" si="23"/>
        <v>150</v>
      </c>
      <c r="P55" s="302">
        <f t="shared" si="24"/>
        <v>105</v>
      </c>
      <c r="Q55" s="302">
        <f t="shared" si="24"/>
        <v>5</v>
      </c>
      <c r="R55" s="298">
        <f t="shared" si="24"/>
        <v>5</v>
      </c>
      <c r="S55" s="306">
        <f t="shared" si="6"/>
        <v>45.5</v>
      </c>
      <c r="T55" s="307">
        <f t="shared" si="7"/>
        <v>198.75</v>
      </c>
      <c r="U55" s="307">
        <f t="shared" si="8"/>
        <v>131.25</v>
      </c>
      <c r="V55" s="321">
        <f>Tabla1[[#This Row],[CONSUMO POL ANIONICO (KG)]]</f>
        <v>5</v>
      </c>
      <c r="W55" s="303">
        <f>Tabla1[[#This Row],[CONSUMO POL CATIONICO (KG)]]</f>
        <v>5</v>
      </c>
      <c r="X55" s="318">
        <f t="shared" si="9"/>
        <v>113.75</v>
      </c>
      <c r="Y55" s="321">
        <f t="shared" si="10"/>
        <v>496.875</v>
      </c>
      <c r="Z55" s="321">
        <f t="shared" si="11"/>
        <v>328.125</v>
      </c>
      <c r="AA55" s="321">
        <f t="shared" si="12"/>
        <v>12.5</v>
      </c>
      <c r="AB55" s="303">
        <f t="shared" si="13"/>
        <v>12.5</v>
      </c>
      <c r="AC55" s="308">
        <v>1.3</v>
      </c>
      <c r="AD55" s="308">
        <v>1.325</v>
      </c>
      <c r="AE55" s="308">
        <v>1.25</v>
      </c>
      <c r="AF55" s="309">
        <v>2500</v>
      </c>
      <c r="AG55" s="310">
        <v>2500</v>
      </c>
      <c r="AH55" s="97">
        <v>830</v>
      </c>
      <c r="AI55" s="97">
        <v>2818</v>
      </c>
      <c r="AJ55" s="97">
        <v>6295</v>
      </c>
      <c r="AK55" s="97">
        <v>19050</v>
      </c>
      <c r="AL55" s="97">
        <v>22050</v>
      </c>
      <c r="AM55" s="319">
        <f t="shared" si="25"/>
        <v>37765</v>
      </c>
      <c r="AN55" s="322">
        <f t="shared" si="25"/>
        <v>560077.5</v>
      </c>
      <c r="AO55" s="322">
        <f t="shared" si="25"/>
        <v>826218.75</v>
      </c>
      <c r="AP55" s="322">
        <f t="shared" si="25"/>
        <v>95250</v>
      </c>
      <c r="AQ55" s="323">
        <f t="shared" si="25"/>
        <v>110250</v>
      </c>
      <c r="AR55" s="311">
        <f>SUM(Tabla1[[#This Row],[COSTO OPERATIVO ACIDO]:[COSTO OPERATIVO CATIONICO]])</f>
        <v>1629561.25</v>
      </c>
      <c r="AS55" s="319">
        <v>3599</v>
      </c>
      <c r="AT55" s="314">
        <f t="shared" si="39"/>
        <v>4073.9031249999998</v>
      </c>
      <c r="AU55" s="220">
        <f>IFERROR(Tabla1[[#This Row],[CAUDAL TOTAL TRATADO GEM ]]/Tabla1[[#This Row],[CAUDAL DE TRATAMIENTO]],0)</f>
        <v>5</v>
      </c>
    </row>
    <row r="56" spans="1:47" thickBot="1" x14ac:dyDescent="0.3">
      <c r="A56" s="116">
        <f t="shared" ref="A56" si="57">+A55+1</f>
        <v>46131</v>
      </c>
      <c r="B56" s="96">
        <v>19</v>
      </c>
      <c r="C56" s="211" t="s">
        <v>289</v>
      </c>
      <c r="D56" s="212">
        <v>55</v>
      </c>
      <c r="E56" s="212" t="s">
        <v>75</v>
      </c>
      <c r="F56" s="304">
        <f>+AVERAGE(F55,F60)</f>
        <v>2965</v>
      </c>
      <c r="G56" s="305">
        <f>+AVERAGE(G55,G60)</f>
        <v>7730</v>
      </c>
      <c r="H56" s="305">
        <f>+AVERAGE(H55,H60)</f>
        <v>3295</v>
      </c>
      <c r="I56" s="305">
        <f>+I55-5</f>
        <v>185</v>
      </c>
      <c r="J56" s="305">
        <f t="shared" ref="J56" si="58">+J55-5</f>
        <v>265</v>
      </c>
      <c r="K56" s="324">
        <v>17829</v>
      </c>
      <c r="L56" s="220">
        <f t="shared" si="38"/>
        <v>0</v>
      </c>
      <c r="M56" s="220">
        <v>80</v>
      </c>
      <c r="N56" s="298">
        <f t="shared" si="23"/>
        <v>0</v>
      </c>
      <c r="O56" s="327">
        <f t="shared" si="23"/>
        <v>0</v>
      </c>
      <c r="P56" s="298">
        <f t="shared" si="24"/>
        <v>0</v>
      </c>
      <c r="Q56" s="298">
        <f t="shared" si="24"/>
        <v>0</v>
      </c>
      <c r="R56" s="298">
        <f t="shared" si="24"/>
        <v>10</v>
      </c>
      <c r="S56" s="306">
        <f t="shared" si="6"/>
        <v>0</v>
      </c>
      <c r="T56" s="307">
        <f t="shared" si="7"/>
        <v>0</v>
      </c>
      <c r="U56" s="307">
        <f t="shared" si="8"/>
        <v>0</v>
      </c>
      <c r="V56" s="307">
        <f>Tabla1[[#This Row],[CONSUMO POL ANIONICO (KG)]]</f>
        <v>0</v>
      </c>
      <c r="W56" s="299">
        <f>Tabla1[[#This Row],[CONSUMO POL CATIONICO (KG)]]</f>
        <v>10</v>
      </c>
      <c r="X56" s="306" t="e">
        <f t="shared" si="9"/>
        <v>#DIV/0!</v>
      </c>
      <c r="Y56" s="307" t="e">
        <f t="shared" si="10"/>
        <v>#DIV/0!</v>
      </c>
      <c r="Z56" s="307" t="e">
        <f t="shared" si="11"/>
        <v>#DIV/0!</v>
      </c>
      <c r="AA56" s="307" t="e">
        <f t="shared" si="12"/>
        <v>#DIV/0!</v>
      </c>
      <c r="AB56" s="299" t="e">
        <f t="shared" si="13"/>
        <v>#DIV/0!</v>
      </c>
      <c r="AC56" s="308">
        <v>1.3</v>
      </c>
      <c r="AD56" s="308">
        <v>1.325</v>
      </c>
      <c r="AE56" s="308">
        <v>1.25</v>
      </c>
      <c r="AF56" s="309">
        <v>2500</v>
      </c>
      <c r="AG56" s="310">
        <v>2500</v>
      </c>
      <c r="AH56" s="97">
        <v>830</v>
      </c>
      <c r="AI56" s="97">
        <v>2818</v>
      </c>
      <c r="AJ56" s="97">
        <v>6295</v>
      </c>
      <c r="AK56" s="97">
        <v>19050</v>
      </c>
      <c r="AL56" s="97">
        <v>22050</v>
      </c>
      <c r="AM56" s="311">
        <f t="shared" si="25"/>
        <v>0</v>
      </c>
      <c r="AN56" s="312">
        <f t="shared" si="25"/>
        <v>0</v>
      </c>
      <c r="AO56" s="312">
        <f t="shared" si="25"/>
        <v>0</v>
      </c>
      <c r="AP56" s="312">
        <f t="shared" si="25"/>
        <v>0</v>
      </c>
      <c r="AQ56" s="313">
        <f t="shared" si="25"/>
        <v>220500</v>
      </c>
      <c r="AR56" s="311">
        <f>SUM(Tabla1[[#This Row],[COSTO OPERATIVO ACIDO]:[COSTO OPERATIVO CATIONICO]])</f>
        <v>220500</v>
      </c>
      <c r="AS56" s="311">
        <v>3599</v>
      </c>
      <c r="AT56" s="314" t="e">
        <f t="shared" si="39"/>
        <v>#DIV/0!</v>
      </c>
      <c r="AU56" s="220">
        <f>IFERROR(Tabla1[[#This Row],[CAUDAL TOTAL TRATADO GEM ]]/Tabla1[[#This Row],[CAUDAL DE TRATAMIENTO]],0)</f>
        <v>0</v>
      </c>
    </row>
    <row r="57" spans="1:47" ht="15.75" thickBot="1" x14ac:dyDescent="0.3">
      <c r="A57" s="431">
        <f t="shared" ref="A57:A58" si="59">+A56</f>
        <v>46131</v>
      </c>
      <c r="B57" s="96">
        <v>19</v>
      </c>
      <c r="C57" s="213" t="s">
        <v>290</v>
      </c>
      <c r="D57" s="214">
        <v>56</v>
      </c>
      <c r="E57" s="214" t="s">
        <v>77</v>
      </c>
      <c r="F57" s="315">
        <v>2965</v>
      </c>
      <c r="G57" s="316">
        <v>7730</v>
      </c>
      <c r="H57" s="316">
        <v>3295</v>
      </c>
      <c r="I57" s="316">
        <f t="shared" ref="I57:J59" si="60">+I56-0</f>
        <v>185</v>
      </c>
      <c r="J57" s="316">
        <f t="shared" ref="J57" si="61">+J56-10</f>
        <v>255</v>
      </c>
      <c r="K57" s="325">
        <v>17829</v>
      </c>
      <c r="L57" s="219">
        <f t="shared" si="38"/>
        <v>0</v>
      </c>
      <c r="M57" s="219">
        <v>80</v>
      </c>
      <c r="N57" s="300">
        <f t="shared" si="23"/>
        <v>0</v>
      </c>
      <c r="O57" s="328">
        <f t="shared" si="23"/>
        <v>0</v>
      </c>
      <c r="P57" s="300">
        <f t="shared" si="24"/>
        <v>0</v>
      </c>
      <c r="Q57" s="300">
        <f t="shared" si="24"/>
        <v>0</v>
      </c>
      <c r="R57" s="298">
        <f t="shared" si="24"/>
        <v>0</v>
      </c>
      <c r="S57" s="306">
        <f t="shared" si="6"/>
        <v>0</v>
      </c>
      <c r="T57" s="307">
        <f t="shared" si="7"/>
        <v>0</v>
      </c>
      <c r="U57" s="307">
        <f t="shared" si="8"/>
        <v>0</v>
      </c>
      <c r="V57" s="317">
        <f>Tabla1[[#This Row],[CONSUMO POL ANIONICO (KG)]]</f>
        <v>0</v>
      </c>
      <c r="W57" s="301">
        <f>Tabla1[[#This Row],[CONSUMO POL CATIONICO (KG)]]</f>
        <v>0</v>
      </c>
      <c r="X57" s="318" t="e">
        <f t="shared" si="9"/>
        <v>#DIV/0!</v>
      </c>
      <c r="Y57" s="317" t="e">
        <f t="shared" si="10"/>
        <v>#DIV/0!</v>
      </c>
      <c r="Z57" s="317" t="e">
        <f t="shared" si="11"/>
        <v>#DIV/0!</v>
      </c>
      <c r="AA57" s="317" t="e">
        <f t="shared" si="12"/>
        <v>#DIV/0!</v>
      </c>
      <c r="AB57" s="301" t="e">
        <f t="shared" si="13"/>
        <v>#DIV/0!</v>
      </c>
      <c r="AC57" s="308">
        <v>1.3</v>
      </c>
      <c r="AD57" s="308">
        <v>1.325</v>
      </c>
      <c r="AE57" s="308">
        <v>1.25</v>
      </c>
      <c r="AF57" s="309">
        <v>2500</v>
      </c>
      <c r="AG57" s="310">
        <v>2500</v>
      </c>
      <c r="AH57" s="97">
        <v>830</v>
      </c>
      <c r="AI57" s="97">
        <v>2818</v>
      </c>
      <c r="AJ57" s="97">
        <v>6295</v>
      </c>
      <c r="AK57" s="97">
        <v>19050</v>
      </c>
      <c r="AL57" s="97">
        <v>22050</v>
      </c>
      <c r="AM57" s="319">
        <f t="shared" si="25"/>
        <v>0</v>
      </c>
      <c r="AN57" s="314">
        <f t="shared" si="25"/>
        <v>0</v>
      </c>
      <c r="AO57" s="314">
        <f t="shared" si="25"/>
        <v>0</v>
      </c>
      <c r="AP57" s="314">
        <f t="shared" si="25"/>
        <v>0</v>
      </c>
      <c r="AQ57" s="320">
        <f t="shared" si="25"/>
        <v>0</v>
      </c>
      <c r="AR57" s="311">
        <f>SUM(Tabla1[[#This Row],[COSTO OPERATIVO ACIDO]:[COSTO OPERATIVO CATIONICO]])</f>
        <v>0</v>
      </c>
      <c r="AS57" s="319">
        <v>3599</v>
      </c>
      <c r="AT57" s="314" t="e">
        <f t="shared" si="39"/>
        <v>#DIV/0!</v>
      </c>
      <c r="AU57" s="220">
        <f>IFERROR(Tabla1[[#This Row],[CAUDAL TOTAL TRATADO GEM ]]/Tabla1[[#This Row],[CAUDAL DE TRATAMIENTO]],0)</f>
        <v>0</v>
      </c>
    </row>
    <row r="58" spans="1:47" thickBot="1" x14ac:dyDescent="0.3">
      <c r="A58" s="432">
        <f t="shared" si="59"/>
        <v>46131</v>
      </c>
      <c r="B58" s="96">
        <v>19</v>
      </c>
      <c r="C58" s="215" t="s">
        <v>30</v>
      </c>
      <c r="D58" s="216">
        <v>57</v>
      </c>
      <c r="E58" s="216" t="s">
        <v>76</v>
      </c>
      <c r="F58" s="315">
        <v>2965</v>
      </c>
      <c r="G58" s="316">
        <v>7730</v>
      </c>
      <c r="H58" s="316">
        <v>3295</v>
      </c>
      <c r="I58" s="316">
        <f t="shared" si="60"/>
        <v>185</v>
      </c>
      <c r="J58" s="316">
        <f t="shared" si="60"/>
        <v>255</v>
      </c>
      <c r="K58" s="326">
        <v>17829</v>
      </c>
      <c r="L58" s="221">
        <f t="shared" si="38"/>
        <v>0</v>
      </c>
      <c r="M58" s="221">
        <v>80</v>
      </c>
      <c r="N58" s="302">
        <f t="shared" si="23"/>
        <v>0</v>
      </c>
      <c r="O58" s="329">
        <f t="shared" si="23"/>
        <v>0</v>
      </c>
      <c r="P58" s="302">
        <f t="shared" si="24"/>
        <v>0</v>
      </c>
      <c r="Q58" s="302">
        <f t="shared" si="24"/>
        <v>0</v>
      </c>
      <c r="R58" s="298">
        <f t="shared" si="24"/>
        <v>5</v>
      </c>
      <c r="S58" s="306">
        <f t="shared" si="6"/>
        <v>0</v>
      </c>
      <c r="T58" s="307">
        <f t="shared" si="7"/>
        <v>0</v>
      </c>
      <c r="U58" s="307">
        <f t="shared" si="8"/>
        <v>0</v>
      </c>
      <c r="V58" s="321">
        <f>Tabla1[[#This Row],[CONSUMO POL ANIONICO (KG)]]</f>
        <v>0</v>
      </c>
      <c r="W58" s="303">
        <f>Tabla1[[#This Row],[CONSUMO POL CATIONICO (KG)]]</f>
        <v>5</v>
      </c>
      <c r="X58" s="318" t="e">
        <f t="shared" si="9"/>
        <v>#DIV/0!</v>
      </c>
      <c r="Y58" s="321" t="e">
        <f t="shared" si="10"/>
        <v>#DIV/0!</v>
      </c>
      <c r="Z58" s="321" t="e">
        <f t="shared" si="11"/>
        <v>#DIV/0!</v>
      </c>
      <c r="AA58" s="321" t="e">
        <f t="shared" si="12"/>
        <v>#DIV/0!</v>
      </c>
      <c r="AB58" s="303" t="e">
        <f t="shared" si="13"/>
        <v>#DIV/0!</v>
      </c>
      <c r="AC58" s="308">
        <v>1.3</v>
      </c>
      <c r="AD58" s="308">
        <v>1.325</v>
      </c>
      <c r="AE58" s="308">
        <v>1.25</v>
      </c>
      <c r="AF58" s="309">
        <v>2500</v>
      </c>
      <c r="AG58" s="310">
        <v>2500</v>
      </c>
      <c r="AH58" s="97">
        <v>830</v>
      </c>
      <c r="AI58" s="97">
        <v>2818</v>
      </c>
      <c r="AJ58" s="97">
        <v>6295</v>
      </c>
      <c r="AK58" s="97">
        <v>19050</v>
      </c>
      <c r="AL58" s="97">
        <v>22050</v>
      </c>
      <c r="AM58" s="319">
        <f t="shared" si="25"/>
        <v>0</v>
      </c>
      <c r="AN58" s="322">
        <f t="shared" si="25"/>
        <v>0</v>
      </c>
      <c r="AO58" s="322">
        <f t="shared" si="25"/>
        <v>0</v>
      </c>
      <c r="AP58" s="322">
        <f t="shared" si="25"/>
        <v>0</v>
      </c>
      <c r="AQ58" s="323">
        <f t="shared" si="25"/>
        <v>110250</v>
      </c>
      <c r="AR58" s="311">
        <f>SUM(Tabla1[[#This Row],[COSTO OPERATIVO ACIDO]:[COSTO OPERATIVO CATIONICO]])</f>
        <v>110250</v>
      </c>
      <c r="AS58" s="319">
        <v>3599</v>
      </c>
      <c r="AT58" s="314" t="e">
        <f t="shared" si="39"/>
        <v>#DIV/0!</v>
      </c>
      <c r="AU58" s="220">
        <f>IFERROR(Tabla1[[#This Row],[CAUDAL TOTAL TRATADO GEM ]]/Tabla1[[#This Row],[CAUDAL DE TRATAMIENTO]],0)</f>
        <v>0</v>
      </c>
    </row>
    <row r="59" spans="1:47" thickBot="1" x14ac:dyDescent="0.3">
      <c r="A59" s="116">
        <f t="shared" ref="A59" si="62">+A58+1</f>
        <v>46132</v>
      </c>
      <c r="B59" s="96">
        <v>20</v>
      </c>
      <c r="C59" s="211" t="s">
        <v>291</v>
      </c>
      <c r="D59" s="212">
        <v>58</v>
      </c>
      <c r="E59" s="212" t="s">
        <v>75</v>
      </c>
      <c r="F59" s="304">
        <v>2965</v>
      </c>
      <c r="G59" s="305">
        <v>7730</v>
      </c>
      <c r="H59" s="305">
        <v>3295</v>
      </c>
      <c r="I59" s="305">
        <f t="shared" si="60"/>
        <v>185</v>
      </c>
      <c r="J59" s="305">
        <f t="shared" ref="J59" si="63">+J58-5</f>
        <v>250</v>
      </c>
      <c r="K59" s="324">
        <v>17829</v>
      </c>
      <c r="L59" s="220">
        <f t="shared" si="38"/>
        <v>400</v>
      </c>
      <c r="M59" s="220">
        <v>80</v>
      </c>
      <c r="N59" s="298">
        <f t="shared" si="23"/>
        <v>35</v>
      </c>
      <c r="O59" s="327">
        <f t="shared" si="23"/>
        <v>150</v>
      </c>
      <c r="P59" s="298">
        <f t="shared" si="24"/>
        <v>105</v>
      </c>
      <c r="Q59" s="298">
        <f t="shared" si="24"/>
        <v>0</v>
      </c>
      <c r="R59" s="298">
        <f t="shared" si="24"/>
        <v>0</v>
      </c>
      <c r="S59" s="306">
        <f t="shared" si="6"/>
        <v>45.5</v>
      </c>
      <c r="T59" s="307">
        <f t="shared" si="7"/>
        <v>198.75</v>
      </c>
      <c r="U59" s="307">
        <f t="shared" si="8"/>
        <v>131.25</v>
      </c>
      <c r="V59" s="307">
        <f>Tabla1[[#This Row],[CONSUMO POL ANIONICO (KG)]]</f>
        <v>0</v>
      </c>
      <c r="W59" s="299">
        <f>Tabla1[[#This Row],[CONSUMO POL CATIONICO (KG)]]</f>
        <v>0</v>
      </c>
      <c r="X59" s="306">
        <f t="shared" si="9"/>
        <v>113.75</v>
      </c>
      <c r="Y59" s="307">
        <f t="shared" si="10"/>
        <v>496.875</v>
      </c>
      <c r="Z59" s="307">
        <f t="shared" si="11"/>
        <v>328.125</v>
      </c>
      <c r="AA59" s="307">
        <f t="shared" si="12"/>
        <v>0</v>
      </c>
      <c r="AB59" s="299">
        <f t="shared" si="13"/>
        <v>0</v>
      </c>
      <c r="AC59" s="308">
        <v>1.3</v>
      </c>
      <c r="AD59" s="308">
        <v>1.325</v>
      </c>
      <c r="AE59" s="308">
        <v>1.25</v>
      </c>
      <c r="AF59" s="309">
        <v>2500</v>
      </c>
      <c r="AG59" s="310">
        <v>2500</v>
      </c>
      <c r="AH59" s="97">
        <v>830</v>
      </c>
      <c r="AI59" s="97">
        <v>2818</v>
      </c>
      <c r="AJ59" s="97">
        <v>6295</v>
      </c>
      <c r="AK59" s="97">
        <v>19050</v>
      </c>
      <c r="AL59" s="97">
        <v>22050</v>
      </c>
      <c r="AM59" s="311">
        <f>S59*AH59</f>
        <v>37765</v>
      </c>
      <c r="AN59" s="312">
        <f t="shared" si="25"/>
        <v>560077.5</v>
      </c>
      <c r="AO59" s="312">
        <f t="shared" si="25"/>
        <v>826218.75</v>
      </c>
      <c r="AP59" s="312">
        <f t="shared" si="25"/>
        <v>0</v>
      </c>
      <c r="AQ59" s="313">
        <f t="shared" si="25"/>
        <v>0</v>
      </c>
      <c r="AR59" s="311">
        <f>SUM(Tabla1[[#This Row],[COSTO OPERATIVO ACIDO]:[COSTO OPERATIVO CATIONICO]])</f>
        <v>1424061.25</v>
      </c>
      <c r="AS59" s="311">
        <v>3599</v>
      </c>
      <c r="AT59" s="314">
        <f>AR59/L59</f>
        <v>3560.1531249999998</v>
      </c>
      <c r="AU59" s="220">
        <f>IFERROR(Tabla1[[#This Row],[CAUDAL TOTAL TRATADO GEM ]]/Tabla1[[#This Row],[CAUDAL DE TRATAMIENTO]],0)</f>
        <v>5</v>
      </c>
    </row>
    <row r="60" spans="1:47" ht="15.75" thickBot="1" x14ac:dyDescent="0.3">
      <c r="A60" s="431">
        <f t="shared" ref="A60:A61" si="64">+A59</f>
        <v>46132</v>
      </c>
      <c r="B60" s="96">
        <v>20</v>
      </c>
      <c r="C60" s="213" t="s">
        <v>292</v>
      </c>
      <c r="D60" s="214">
        <v>59</v>
      </c>
      <c r="E60" s="214" t="s">
        <v>77</v>
      </c>
      <c r="F60" s="315">
        <v>2930</v>
      </c>
      <c r="G60" s="316">
        <v>7580</v>
      </c>
      <c r="H60" s="316">
        <v>3190</v>
      </c>
      <c r="I60" s="316">
        <f>+I59-0</f>
        <v>185</v>
      </c>
      <c r="J60" s="316">
        <f>+J59-0</f>
        <v>250</v>
      </c>
      <c r="K60" s="325">
        <v>17834</v>
      </c>
      <c r="L60" s="219">
        <f t="shared" si="38"/>
        <v>640</v>
      </c>
      <c r="M60" s="219">
        <v>80</v>
      </c>
      <c r="N60" s="300">
        <f t="shared" si="23"/>
        <v>30</v>
      </c>
      <c r="O60" s="328">
        <f t="shared" si="23"/>
        <v>180</v>
      </c>
      <c r="P60" s="300">
        <f t="shared" si="24"/>
        <v>50</v>
      </c>
      <c r="Q60" s="300">
        <f t="shared" si="24"/>
        <v>5</v>
      </c>
      <c r="R60" s="298">
        <f t="shared" si="24"/>
        <v>5</v>
      </c>
      <c r="S60" s="306">
        <f t="shared" si="6"/>
        <v>39</v>
      </c>
      <c r="T60" s="307">
        <f t="shared" si="7"/>
        <v>238.5</v>
      </c>
      <c r="U60" s="307">
        <f t="shared" si="8"/>
        <v>62.5</v>
      </c>
      <c r="V60" s="317">
        <f>Tabla1[[#This Row],[CONSUMO POL ANIONICO (KG)]]</f>
        <v>5</v>
      </c>
      <c r="W60" s="301">
        <f>Tabla1[[#This Row],[CONSUMO POL CATIONICO (KG)]]</f>
        <v>5</v>
      </c>
      <c r="X60" s="318">
        <f t="shared" si="9"/>
        <v>60.9375</v>
      </c>
      <c r="Y60" s="317">
        <f t="shared" si="10"/>
        <v>372.65625</v>
      </c>
      <c r="Z60" s="317">
        <f t="shared" si="11"/>
        <v>97.65625</v>
      </c>
      <c r="AA60" s="317">
        <f t="shared" si="12"/>
        <v>7.8125</v>
      </c>
      <c r="AB60" s="301">
        <f t="shared" si="13"/>
        <v>7.8125</v>
      </c>
      <c r="AC60" s="308">
        <v>1.3</v>
      </c>
      <c r="AD60" s="308">
        <v>1.325</v>
      </c>
      <c r="AE60" s="308">
        <v>1.25</v>
      </c>
      <c r="AF60" s="309">
        <v>2500</v>
      </c>
      <c r="AG60" s="310">
        <v>2500</v>
      </c>
      <c r="AH60" s="97">
        <v>830</v>
      </c>
      <c r="AI60" s="97">
        <v>2818</v>
      </c>
      <c r="AJ60" s="97">
        <v>6295</v>
      </c>
      <c r="AK60" s="97">
        <v>19050</v>
      </c>
      <c r="AL60" s="97">
        <v>22050</v>
      </c>
      <c r="AM60" s="319">
        <f t="shared" si="25"/>
        <v>32370</v>
      </c>
      <c r="AN60" s="314">
        <f t="shared" si="25"/>
        <v>672093</v>
      </c>
      <c r="AO60" s="314">
        <f t="shared" si="25"/>
        <v>393437.5</v>
      </c>
      <c r="AP60" s="314">
        <f t="shared" si="25"/>
        <v>95250</v>
      </c>
      <c r="AQ60" s="320">
        <f t="shared" si="25"/>
        <v>110250</v>
      </c>
      <c r="AR60" s="311">
        <f>SUM(Tabla1[[#This Row],[COSTO OPERATIVO ACIDO]:[COSTO OPERATIVO CATIONICO]])</f>
        <v>1303400.5</v>
      </c>
      <c r="AS60" s="319">
        <v>3599</v>
      </c>
      <c r="AT60" s="314">
        <f t="shared" si="39"/>
        <v>2036.56328125</v>
      </c>
      <c r="AU60" s="220">
        <f>IFERROR(Tabla1[[#This Row],[CAUDAL TOTAL TRATADO GEM ]]/Tabla1[[#This Row],[CAUDAL DE TRATAMIENTO]],0)</f>
        <v>8</v>
      </c>
    </row>
    <row r="61" spans="1:47" thickBot="1" x14ac:dyDescent="0.3">
      <c r="A61" s="432">
        <f t="shared" si="64"/>
        <v>46132</v>
      </c>
      <c r="B61" s="96">
        <v>20</v>
      </c>
      <c r="C61" s="215" t="s">
        <v>30</v>
      </c>
      <c r="D61" s="216">
        <v>60</v>
      </c>
      <c r="E61" s="216" t="s">
        <v>76</v>
      </c>
      <c r="F61" s="315">
        <v>2900</v>
      </c>
      <c r="G61" s="316">
        <v>7400</v>
      </c>
      <c r="H61" s="316">
        <v>3140</v>
      </c>
      <c r="I61" s="316">
        <f>+I60-5</f>
        <v>180</v>
      </c>
      <c r="J61" s="316">
        <f>+J60-5</f>
        <v>245</v>
      </c>
      <c r="K61" s="326">
        <v>17842</v>
      </c>
      <c r="L61" s="221">
        <f t="shared" si="38"/>
        <v>560</v>
      </c>
      <c r="M61" s="221">
        <v>80</v>
      </c>
      <c r="N61" s="302">
        <f t="shared" si="23"/>
        <v>10</v>
      </c>
      <c r="O61" s="329">
        <f t="shared" si="23"/>
        <v>100</v>
      </c>
      <c r="P61" s="302">
        <f t="shared" si="24"/>
        <v>20</v>
      </c>
      <c r="Q61" s="302">
        <f t="shared" si="24"/>
        <v>0</v>
      </c>
      <c r="R61" s="298">
        <f t="shared" si="24"/>
        <v>10</v>
      </c>
      <c r="S61" s="306">
        <f t="shared" si="6"/>
        <v>13</v>
      </c>
      <c r="T61" s="307">
        <f t="shared" si="7"/>
        <v>132.5</v>
      </c>
      <c r="U61" s="307">
        <f t="shared" si="8"/>
        <v>25</v>
      </c>
      <c r="V61" s="321">
        <f>Tabla1[[#This Row],[CONSUMO POL ANIONICO (KG)]]</f>
        <v>0</v>
      </c>
      <c r="W61" s="303">
        <f>Tabla1[[#This Row],[CONSUMO POL CATIONICO (KG)]]</f>
        <v>10</v>
      </c>
      <c r="X61" s="318">
        <f t="shared" si="9"/>
        <v>23.214285714285715</v>
      </c>
      <c r="Y61" s="321">
        <f t="shared" si="10"/>
        <v>236.60714285714286</v>
      </c>
      <c r="Z61" s="321">
        <f t="shared" si="11"/>
        <v>44.642857142857146</v>
      </c>
      <c r="AA61" s="321">
        <f t="shared" si="12"/>
        <v>0</v>
      </c>
      <c r="AB61" s="303">
        <f t="shared" si="13"/>
        <v>17.857142857142858</v>
      </c>
      <c r="AC61" s="308">
        <v>1.3</v>
      </c>
      <c r="AD61" s="308">
        <v>1.325</v>
      </c>
      <c r="AE61" s="308">
        <v>1.25</v>
      </c>
      <c r="AF61" s="309">
        <v>2500</v>
      </c>
      <c r="AG61" s="310">
        <v>2500</v>
      </c>
      <c r="AH61" s="97">
        <v>830</v>
      </c>
      <c r="AI61" s="97">
        <v>2818</v>
      </c>
      <c r="AJ61" s="97">
        <v>6295</v>
      </c>
      <c r="AK61" s="97">
        <v>19050</v>
      </c>
      <c r="AL61" s="97">
        <v>22050</v>
      </c>
      <c r="AM61" s="319">
        <f t="shared" si="25"/>
        <v>10790</v>
      </c>
      <c r="AN61" s="322">
        <f t="shared" si="25"/>
        <v>373385</v>
      </c>
      <c r="AO61" s="322">
        <f t="shared" si="25"/>
        <v>157375</v>
      </c>
      <c r="AP61" s="322">
        <f t="shared" si="25"/>
        <v>0</v>
      </c>
      <c r="AQ61" s="323">
        <f t="shared" si="25"/>
        <v>220500</v>
      </c>
      <c r="AR61" s="311">
        <f>SUM(Tabla1[[#This Row],[COSTO OPERATIVO ACIDO]:[COSTO OPERATIVO CATIONICO]])</f>
        <v>762050</v>
      </c>
      <c r="AS61" s="319">
        <v>3599</v>
      </c>
      <c r="AT61" s="314">
        <f t="shared" si="39"/>
        <v>1360.8035714285713</v>
      </c>
      <c r="AU61" s="220">
        <f>IFERROR(Tabla1[[#This Row],[CAUDAL TOTAL TRATADO GEM ]]/Tabla1[[#This Row],[CAUDAL DE TRATAMIENTO]],0)</f>
        <v>7</v>
      </c>
    </row>
    <row r="62" spans="1:47" s="233" customFormat="1" thickBot="1" x14ac:dyDescent="0.3">
      <c r="A62" s="116">
        <f t="shared" ref="A62" si="65">+A61+1</f>
        <v>46133</v>
      </c>
      <c r="B62" s="230">
        <v>21</v>
      </c>
      <c r="C62" s="231" t="s">
        <v>293</v>
      </c>
      <c r="D62" s="232">
        <v>61</v>
      </c>
      <c r="E62" s="232" t="s">
        <v>75</v>
      </c>
      <c r="F62" s="304">
        <v>2890</v>
      </c>
      <c r="G62" s="305">
        <v>7300</v>
      </c>
      <c r="H62" s="305">
        <v>3120</v>
      </c>
      <c r="I62" s="305">
        <f>+I61-0</f>
        <v>180</v>
      </c>
      <c r="J62" s="305">
        <f>+J61-10</f>
        <v>235</v>
      </c>
      <c r="K62" s="324">
        <v>17849</v>
      </c>
      <c r="L62" s="220">
        <f t="shared" si="38"/>
        <v>400</v>
      </c>
      <c r="M62" s="220">
        <v>80</v>
      </c>
      <c r="N62" s="298">
        <f t="shared" si="23"/>
        <v>90</v>
      </c>
      <c r="O62" s="661">
        <f>G62-G63-120</f>
        <v>150</v>
      </c>
      <c r="P62" s="298">
        <f t="shared" si="24"/>
        <v>120</v>
      </c>
      <c r="Q62" s="298">
        <f t="shared" si="24"/>
        <v>5</v>
      </c>
      <c r="R62" s="298">
        <f t="shared" si="24"/>
        <v>5</v>
      </c>
      <c r="S62" s="306">
        <f t="shared" si="6"/>
        <v>117</v>
      </c>
      <c r="T62" s="307">
        <f t="shared" si="7"/>
        <v>198.75</v>
      </c>
      <c r="U62" s="307">
        <f t="shared" si="8"/>
        <v>150</v>
      </c>
      <c r="V62" s="307">
        <f>Tabla1[[#This Row],[CONSUMO POL ANIONICO (KG)]]</f>
        <v>5</v>
      </c>
      <c r="W62" s="299">
        <f>Tabla1[[#This Row],[CONSUMO POL CATIONICO (KG)]]</f>
        <v>5</v>
      </c>
      <c r="X62" s="306">
        <f t="shared" si="9"/>
        <v>292.5</v>
      </c>
      <c r="Y62" s="307">
        <f t="shared" si="10"/>
        <v>496.875</v>
      </c>
      <c r="Z62" s="307">
        <f t="shared" si="11"/>
        <v>375</v>
      </c>
      <c r="AA62" s="307">
        <f t="shared" si="12"/>
        <v>12.5</v>
      </c>
      <c r="AB62" s="299">
        <f t="shared" si="13"/>
        <v>12.5</v>
      </c>
      <c r="AC62" s="308">
        <v>1.3</v>
      </c>
      <c r="AD62" s="308">
        <v>1.325</v>
      </c>
      <c r="AE62" s="308">
        <v>1.25</v>
      </c>
      <c r="AF62" s="309">
        <v>2500</v>
      </c>
      <c r="AG62" s="310">
        <v>2500</v>
      </c>
      <c r="AH62" s="97">
        <v>830</v>
      </c>
      <c r="AI62" s="97">
        <v>2818</v>
      </c>
      <c r="AJ62" s="97">
        <v>6295</v>
      </c>
      <c r="AK62" s="97">
        <v>19050</v>
      </c>
      <c r="AL62" s="97">
        <v>22050</v>
      </c>
      <c r="AM62" s="311">
        <f t="shared" si="25"/>
        <v>97110</v>
      </c>
      <c r="AN62" s="312">
        <f t="shared" si="25"/>
        <v>560077.5</v>
      </c>
      <c r="AO62" s="312">
        <f t="shared" si="25"/>
        <v>944250</v>
      </c>
      <c r="AP62" s="312">
        <f t="shared" si="25"/>
        <v>95250</v>
      </c>
      <c r="AQ62" s="313">
        <f t="shared" si="25"/>
        <v>110250</v>
      </c>
      <c r="AR62" s="311">
        <f>SUM(Tabla1[[#This Row],[COSTO OPERATIVO ACIDO]:[COSTO OPERATIVO CATIONICO]])</f>
        <v>1806937.5</v>
      </c>
      <c r="AS62" s="311">
        <v>3599</v>
      </c>
      <c r="AT62" s="314">
        <f t="shared" si="39"/>
        <v>4517.34375</v>
      </c>
      <c r="AU62" s="220">
        <f>IFERROR(Tabla1[[#This Row],[CAUDAL TOTAL TRATADO GEM ]]/Tabla1[[#This Row],[CAUDAL DE TRATAMIENTO]],0)</f>
        <v>5</v>
      </c>
    </row>
    <row r="63" spans="1:47" s="233" customFormat="1" ht="15.75" thickBot="1" x14ac:dyDescent="0.3">
      <c r="A63" s="431">
        <f t="shared" ref="A63:A64" si="66">+A62</f>
        <v>46133</v>
      </c>
      <c r="B63" s="230">
        <v>21</v>
      </c>
      <c r="C63" s="234" t="s">
        <v>294</v>
      </c>
      <c r="D63" s="235">
        <v>62</v>
      </c>
      <c r="E63" s="235" t="s">
        <v>77</v>
      </c>
      <c r="F63" s="315">
        <v>2800</v>
      </c>
      <c r="G63" s="316">
        <v>7030</v>
      </c>
      <c r="H63" s="316">
        <v>3000</v>
      </c>
      <c r="I63" s="316">
        <f>+I62-5</f>
        <v>175</v>
      </c>
      <c r="J63" s="316">
        <f>+J62-5</f>
        <v>230</v>
      </c>
      <c r="K63" s="325">
        <v>17854</v>
      </c>
      <c r="L63" s="219">
        <f t="shared" si="38"/>
        <v>480</v>
      </c>
      <c r="M63" s="219">
        <v>80</v>
      </c>
      <c r="N63" s="300">
        <f t="shared" si="23"/>
        <v>130</v>
      </c>
      <c r="O63" s="328">
        <f t="shared" si="23"/>
        <v>150</v>
      </c>
      <c r="P63" s="300">
        <f t="shared" si="24"/>
        <v>50</v>
      </c>
      <c r="Q63" s="300">
        <f t="shared" si="24"/>
        <v>0</v>
      </c>
      <c r="R63" s="298">
        <f t="shared" si="24"/>
        <v>5</v>
      </c>
      <c r="S63" s="306">
        <f t="shared" si="6"/>
        <v>169</v>
      </c>
      <c r="T63" s="307">
        <f t="shared" si="7"/>
        <v>198.75</v>
      </c>
      <c r="U63" s="307">
        <f t="shared" si="8"/>
        <v>62.5</v>
      </c>
      <c r="V63" s="317">
        <f>Tabla1[[#This Row],[CONSUMO POL ANIONICO (KG)]]</f>
        <v>0</v>
      </c>
      <c r="W63" s="301">
        <f>Tabla1[[#This Row],[CONSUMO POL CATIONICO (KG)]]</f>
        <v>5</v>
      </c>
      <c r="X63" s="318">
        <f t="shared" si="9"/>
        <v>352.08333333333331</v>
      </c>
      <c r="Y63" s="317">
        <f t="shared" si="10"/>
        <v>414.0625</v>
      </c>
      <c r="Z63" s="317">
        <f t="shared" si="11"/>
        <v>130.20833333333334</v>
      </c>
      <c r="AA63" s="317">
        <f t="shared" si="12"/>
        <v>0</v>
      </c>
      <c r="AB63" s="301">
        <f t="shared" si="13"/>
        <v>10.416666666666666</v>
      </c>
      <c r="AC63" s="308">
        <v>1.3</v>
      </c>
      <c r="AD63" s="308">
        <v>1.325</v>
      </c>
      <c r="AE63" s="308">
        <v>1.25</v>
      </c>
      <c r="AF63" s="309">
        <v>2500</v>
      </c>
      <c r="AG63" s="310">
        <v>2500</v>
      </c>
      <c r="AH63" s="97">
        <v>830</v>
      </c>
      <c r="AI63" s="97">
        <v>2818</v>
      </c>
      <c r="AJ63" s="97">
        <v>6295</v>
      </c>
      <c r="AK63" s="97">
        <v>19050</v>
      </c>
      <c r="AL63" s="97">
        <v>22050</v>
      </c>
      <c r="AM63" s="319">
        <f t="shared" si="25"/>
        <v>140270</v>
      </c>
      <c r="AN63" s="314">
        <f t="shared" si="25"/>
        <v>560077.5</v>
      </c>
      <c r="AO63" s="314">
        <f t="shared" si="25"/>
        <v>393437.5</v>
      </c>
      <c r="AP63" s="314">
        <f t="shared" si="25"/>
        <v>0</v>
      </c>
      <c r="AQ63" s="320">
        <f t="shared" si="25"/>
        <v>110250</v>
      </c>
      <c r="AR63" s="311">
        <f>SUM(Tabla1[[#This Row],[COSTO OPERATIVO ACIDO]:[COSTO OPERATIVO CATIONICO]])</f>
        <v>1204035</v>
      </c>
      <c r="AS63" s="319">
        <v>3599</v>
      </c>
      <c r="AT63" s="314">
        <f t="shared" si="39"/>
        <v>2508.40625</v>
      </c>
      <c r="AU63" s="220">
        <f>IFERROR(Tabla1[[#This Row],[CAUDAL TOTAL TRATADO GEM ]]/Tabla1[[#This Row],[CAUDAL DE TRATAMIENTO]],0)</f>
        <v>6</v>
      </c>
    </row>
    <row r="64" spans="1:47" s="233" customFormat="1" thickBot="1" x14ac:dyDescent="0.3">
      <c r="A64" s="432">
        <f t="shared" si="66"/>
        <v>46133</v>
      </c>
      <c r="B64" s="230">
        <v>21</v>
      </c>
      <c r="C64" s="236" t="s">
        <v>30</v>
      </c>
      <c r="D64" s="237">
        <v>63</v>
      </c>
      <c r="E64" s="237" t="s">
        <v>76</v>
      </c>
      <c r="F64" s="315">
        <v>2670</v>
      </c>
      <c r="G64" s="316">
        <v>6880</v>
      </c>
      <c r="H64" s="316">
        <v>2950</v>
      </c>
      <c r="I64" s="316">
        <f>+I63-0</f>
        <v>175</v>
      </c>
      <c r="J64" s="316">
        <f>+J63-5</f>
        <v>225</v>
      </c>
      <c r="K64" s="326">
        <v>17860</v>
      </c>
      <c r="L64" s="221">
        <f t="shared" si="38"/>
        <v>480</v>
      </c>
      <c r="M64" s="221">
        <v>80</v>
      </c>
      <c r="N64" s="302">
        <f t="shared" si="23"/>
        <v>60</v>
      </c>
      <c r="O64" s="329">
        <f t="shared" si="23"/>
        <v>80</v>
      </c>
      <c r="P64" s="302">
        <f t="shared" si="24"/>
        <v>20</v>
      </c>
      <c r="Q64" s="302">
        <f t="shared" si="24"/>
        <v>5</v>
      </c>
      <c r="R64" s="298">
        <f t="shared" si="24"/>
        <v>5</v>
      </c>
      <c r="S64" s="306">
        <f t="shared" si="6"/>
        <v>78</v>
      </c>
      <c r="T64" s="307">
        <f t="shared" si="7"/>
        <v>106</v>
      </c>
      <c r="U64" s="307">
        <f t="shared" si="8"/>
        <v>25</v>
      </c>
      <c r="V64" s="321">
        <f>Tabla1[[#This Row],[CONSUMO POL ANIONICO (KG)]]</f>
        <v>5</v>
      </c>
      <c r="W64" s="303">
        <f>Tabla1[[#This Row],[CONSUMO POL CATIONICO (KG)]]</f>
        <v>5</v>
      </c>
      <c r="X64" s="318">
        <f t="shared" si="9"/>
        <v>162.5</v>
      </c>
      <c r="Y64" s="321">
        <f t="shared" si="10"/>
        <v>220.83333333333334</v>
      </c>
      <c r="Z64" s="321">
        <f t="shared" si="11"/>
        <v>52.083333333333336</v>
      </c>
      <c r="AA64" s="321">
        <f t="shared" si="12"/>
        <v>10.416666666666666</v>
      </c>
      <c r="AB64" s="303">
        <f t="shared" si="13"/>
        <v>10.416666666666666</v>
      </c>
      <c r="AC64" s="308">
        <v>1.3</v>
      </c>
      <c r="AD64" s="308">
        <v>1.325</v>
      </c>
      <c r="AE64" s="308">
        <v>1.25</v>
      </c>
      <c r="AF64" s="309">
        <v>2500</v>
      </c>
      <c r="AG64" s="310">
        <v>2500</v>
      </c>
      <c r="AH64" s="97">
        <v>830</v>
      </c>
      <c r="AI64" s="97">
        <v>2818</v>
      </c>
      <c r="AJ64" s="97">
        <v>6295</v>
      </c>
      <c r="AK64" s="97">
        <v>19050</v>
      </c>
      <c r="AL64" s="97">
        <v>22050</v>
      </c>
      <c r="AM64" s="319">
        <f t="shared" si="25"/>
        <v>64740</v>
      </c>
      <c r="AN64" s="322">
        <f t="shared" si="25"/>
        <v>298708</v>
      </c>
      <c r="AO64" s="322">
        <f t="shared" si="25"/>
        <v>157375</v>
      </c>
      <c r="AP64" s="322">
        <f t="shared" si="25"/>
        <v>95250</v>
      </c>
      <c r="AQ64" s="323">
        <f t="shared" si="25"/>
        <v>110250</v>
      </c>
      <c r="AR64" s="311">
        <f>SUM(Tabla1[[#This Row],[COSTO OPERATIVO ACIDO]:[COSTO OPERATIVO CATIONICO]])</f>
        <v>726323</v>
      </c>
      <c r="AS64" s="319">
        <v>3599</v>
      </c>
      <c r="AT64" s="314">
        <f t="shared" si="39"/>
        <v>1513.1729166666667</v>
      </c>
      <c r="AU64" s="220">
        <f>IFERROR(Tabla1[[#This Row],[CAUDAL TOTAL TRATADO GEM ]]/Tabla1[[#This Row],[CAUDAL DE TRATAMIENTO]],0)</f>
        <v>6</v>
      </c>
    </row>
    <row r="65" spans="1:47" thickBot="1" x14ac:dyDescent="0.3">
      <c r="A65" s="116">
        <f t="shared" ref="A65" si="67">+A64+1</f>
        <v>46134</v>
      </c>
      <c r="B65" s="96">
        <v>22</v>
      </c>
      <c r="C65" s="211" t="s">
        <v>295</v>
      </c>
      <c r="D65" s="212">
        <v>64</v>
      </c>
      <c r="E65" s="212" t="s">
        <v>75</v>
      </c>
      <c r="F65" s="304">
        <v>2610</v>
      </c>
      <c r="G65" s="305">
        <v>6800</v>
      </c>
      <c r="H65" s="305">
        <v>2930</v>
      </c>
      <c r="I65" s="305">
        <f>+I64-5</f>
        <v>170</v>
      </c>
      <c r="J65" s="305">
        <f t="shared" ref="J65" si="68">+J64-5</f>
        <v>220</v>
      </c>
      <c r="K65" s="324">
        <v>17866</v>
      </c>
      <c r="L65" s="220">
        <f t="shared" si="38"/>
        <v>480</v>
      </c>
      <c r="M65" s="220">
        <v>80</v>
      </c>
      <c r="N65" s="298">
        <f t="shared" si="23"/>
        <v>110</v>
      </c>
      <c r="O65" s="327">
        <f t="shared" si="23"/>
        <v>250</v>
      </c>
      <c r="P65" s="298">
        <f t="shared" si="24"/>
        <v>130</v>
      </c>
      <c r="Q65" s="298">
        <f t="shared" si="24"/>
        <v>5</v>
      </c>
      <c r="R65" s="298">
        <f t="shared" si="24"/>
        <v>5</v>
      </c>
      <c r="S65" s="306">
        <f t="shared" si="6"/>
        <v>143</v>
      </c>
      <c r="T65" s="307">
        <f t="shared" si="7"/>
        <v>331.25</v>
      </c>
      <c r="U65" s="307">
        <f t="shared" si="8"/>
        <v>162.5</v>
      </c>
      <c r="V65" s="307">
        <f>Tabla1[[#This Row],[CONSUMO POL ANIONICO (KG)]]</f>
        <v>5</v>
      </c>
      <c r="W65" s="299">
        <f>Tabla1[[#This Row],[CONSUMO POL CATIONICO (KG)]]</f>
        <v>5</v>
      </c>
      <c r="X65" s="306">
        <f t="shared" si="9"/>
        <v>297.91666666666669</v>
      </c>
      <c r="Y65" s="307">
        <f t="shared" si="10"/>
        <v>690.10416666666663</v>
      </c>
      <c r="Z65" s="307">
        <f t="shared" si="11"/>
        <v>338.54166666666669</v>
      </c>
      <c r="AA65" s="307">
        <f t="shared" si="12"/>
        <v>10.416666666666666</v>
      </c>
      <c r="AB65" s="299">
        <f t="shared" si="13"/>
        <v>10.416666666666666</v>
      </c>
      <c r="AC65" s="308">
        <v>1.3</v>
      </c>
      <c r="AD65" s="308">
        <v>1.325</v>
      </c>
      <c r="AE65" s="308">
        <v>1.25</v>
      </c>
      <c r="AF65" s="309">
        <v>2500</v>
      </c>
      <c r="AG65" s="310">
        <v>2500</v>
      </c>
      <c r="AH65" s="97">
        <v>830</v>
      </c>
      <c r="AI65" s="97">
        <v>2818</v>
      </c>
      <c r="AJ65" s="97">
        <v>6295</v>
      </c>
      <c r="AK65" s="97">
        <v>19050</v>
      </c>
      <c r="AL65" s="97">
        <v>22050</v>
      </c>
      <c r="AM65" s="311">
        <f t="shared" si="25"/>
        <v>118690</v>
      </c>
      <c r="AN65" s="312">
        <f t="shared" si="25"/>
        <v>933462.5</v>
      </c>
      <c r="AO65" s="312">
        <f t="shared" si="25"/>
        <v>1022937.5</v>
      </c>
      <c r="AP65" s="312">
        <f t="shared" si="25"/>
        <v>95250</v>
      </c>
      <c r="AQ65" s="313">
        <f t="shared" si="25"/>
        <v>110250</v>
      </c>
      <c r="AR65" s="311">
        <f>SUM(Tabla1[[#This Row],[COSTO OPERATIVO ACIDO]:[COSTO OPERATIVO CATIONICO]])</f>
        <v>2280590</v>
      </c>
      <c r="AS65" s="311">
        <v>3599</v>
      </c>
      <c r="AT65" s="314">
        <f t="shared" si="39"/>
        <v>4751.229166666667</v>
      </c>
      <c r="AU65" s="220">
        <f>IFERROR(Tabla1[[#This Row],[CAUDAL TOTAL TRATADO GEM ]]/Tabla1[[#This Row],[CAUDAL DE TRATAMIENTO]],0)</f>
        <v>6</v>
      </c>
    </row>
    <row r="66" spans="1:47" ht="15.75" thickBot="1" x14ac:dyDescent="0.3">
      <c r="A66" s="431">
        <f t="shared" ref="A66:A67" si="69">+A65</f>
        <v>46134</v>
      </c>
      <c r="B66" s="96">
        <v>22</v>
      </c>
      <c r="C66" s="213" t="s">
        <v>296</v>
      </c>
      <c r="D66" s="214">
        <v>65</v>
      </c>
      <c r="E66" s="214" t="s">
        <v>77</v>
      </c>
      <c r="F66" s="315">
        <v>2500</v>
      </c>
      <c r="G66" s="316">
        <v>6550</v>
      </c>
      <c r="H66" s="316">
        <v>2800</v>
      </c>
      <c r="I66" s="316">
        <f>+I65-5</f>
        <v>165</v>
      </c>
      <c r="J66" s="316">
        <f>+J65-5</f>
        <v>215</v>
      </c>
      <c r="K66" s="325">
        <v>17872</v>
      </c>
      <c r="L66" s="219">
        <f t="shared" ref="L66:L96" si="70">(K67-K66)*M66</f>
        <v>400</v>
      </c>
      <c r="M66" s="219">
        <v>80</v>
      </c>
      <c r="N66" s="662">
        <f>F66-F67-70</f>
        <v>180</v>
      </c>
      <c r="O66" s="328">
        <f t="shared" si="23"/>
        <v>200</v>
      </c>
      <c r="P66" s="300">
        <f t="shared" si="24"/>
        <v>80</v>
      </c>
      <c r="Q66" s="300">
        <f t="shared" si="24"/>
        <v>0</v>
      </c>
      <c r="R66" s="298">
        <f t="shared" si="24"/>
        <v>5</v>
      </c>
      <c r="S66" s="306">
        <f t="shared" si="6"/>
        <v>234</v>
      </c>
      <c r="T66" s="307">
        <f t="shared" si="7"/>
        <v>265</v>
      </c>
      <c r="U66" s="307">
        <f t="shared" si="8"/>
        <v>100</v>
      </c>
      <c r="V66" s="317">
        <f>Tabla1[[#This Row],[CONSUMO POL ANIONICO (KG)]]</f>
        <v>0</v>
      </c>
      <c r="W66" s="301">
        <f>Tabla1[[#This Row],[CONSUMO POL CATIONICO (KG)]]</f>
        <v>5</v>
      </c>
      <c r="X66" s="318">
        <f t="shared" si="9"/>
        <v>585</v>
      </c>
      <c r="Y66" s="317">
        <f t="shared" si="10"/>
        <v>662.5</v>
      </c>
      <c r="Z66" s="317">
        <f t="shared" si="11"/>
        <v>250</v>
      </c>
      <c r="AA66" s="317">
        <f t="shared" si="12"/>
        <v>0</v>
      </c>
      <c r="AB66" s="301">
        <f t="shared" si="13"/>
        <v>12.5</v>
      </c>
      <c r="AC66" s="308">
        <v>1.3</v>
      </c>
      <c r="AD66" s="308">
        <v>1.325</v>
      </c>
      <c r="AE66" s="308">
        <v>1.25</v>
      </c>
      <c r="AF66" s="309">
        <v>2500</v>
      </c>
      <c r="AG66" s="310">
        <v>2500</v>
      </c>
      <c r="AH66" s="97">
        <v>830</v>
      </c>
      <c r="AI66" s="97">
        <v>2818</v>
      </c>
      <c r="AJ66" s="97">
        <v>6295</v>
      </c>
      <c r="AK66" s="97">
        <v>19050</v>
      </c>
      <c r="AL66" s="97">
        <v>22050</v>
      </c>
      <c r="AM66" s="319">
        <f t="shared" si="25"/>
        <v>194220</v>
      </c>
      <c r="AN66" s="314">
        <f t="shared" si="25"/>
        <v>746770</v>
      </c>
      <c r="AO66" s="314">
        <f t="shared" si="25"/>
        <v>629500</v>
      </c>
      <c r="AP66" s="314">
        <f t="shared" si="25"/>
        <v>0</v>
      </c>
      <c r="AQ66" s="320">
        <f t="shared" si="25"/>
        <v>110250</v>
      </c>
      <c r="AR66" s="311">
        <f>SUM(Tabla1[[#This Row],[COSTO OPERATIVO ACIDO]:[COSTO OPERATIVO CATIONICO]])</f>
        <v>1680740</v>
      </c>
      <c r="AS66" s="319">
        <v>3599</v>
      </c>
      <c r="AT66" s="314">
        <f t="shared" ref="AT66:AT96" si="71">AR66/L66</f>
        <v>4201.8500000000004</v>
      </c>
      <c r="AU66" s="220">
        <f>IFERROR(Tabla1[[#This Row],[CAUDAL TOTAL TRATADO GEM ]]/Tabla1[[#This Row],[CAUDAL DE TRATAMIENTO]],0)</f>
        <v>5</v>
      </c>
    </row>
    <row r="67" spans="1:47" thickBot="1" x14ac:dyDescent="0.3">
      <c r="A67" s="432">
        <f t="shared" si="69"/>
        <v>46134</v>
      </c>
      <c r="B67" s="96">
        <v>22</v>
      </c>
      <c r="C67" s="215" t="s">
        <v>30</v>
      </c>
      <c r="D67" s="216">
        <v>66</v>
      </c>
      <c r="E67" s="216" t="s">
        <v>76</v>
      </c>
      <c r="F67" s="315">
        <v>2250</v>
      </c>
      <c r="G67" s="316">
        <v>6350</v>
      </c>
      <c r="H67" s="316">
        <v>2720</v>
      </c>
      <c r="I67" s="316">
        <f>+I66-0</f>
        <v>165</v>
      </c>
      <c r="J67" s="316">
        <f>+J66-5</f>
        <v>210</v>
      </c>
      <c r="K67" s="326">
        <v>17877</v>
      </c>
      <c r="L67" s="221">
        <f t="shared" si="70"/>
        <v>640</v>
      </c>
      <c r="M67" s="221">
        <v>80</v>
      </c>
      <c r="N67" s="302">
        <f t="shared" si="23"/>
        <v>20</v>
      </c>
      <c r="O67" s="575">
        <f>G67-G68-150</f>
        <v>200</v>
      </c>
      <c r="P67" s="302">
        <f t="shared" si="24"/>
        <v>80</v>
      </c>
      <c r="Q67" s="302">
        <f t="shared" si="24"/>
        <v>5</v>
      </c>
      <c r="R67" s="298">
        <f t="shared" si="24"/>
        <v>5</v>
      </c>
      <c r="S67" s="306">
        <f t="shared" si="6"/>
        <v>26</v>
      </c>
      <c r="T67" s="307">
        <f t="shared" si="7"/>
        <v>265</v>
      </c>
      <c r="U67" s="307">
        <f t="shared" si="8"/>
        <v>100</v>
      </c>
      <c r="V67" s="321">
        <f>Tabla1[[#This Row],[CONSUMO POL ANIONICO (KG)]]</f>
        <v>5</v>
      </c>
      <c r="W67" s="303">
        <f>Tabla1[[#This Row],[CONSUMO POL CATIONICO (KG)]]</f>
        <v>5</v>
      </c>
      <c r="X67" s="318">
        <f t="shared" si="9"/>
        <v>40.625</v>
      </c>
      <c r="Y67" s="321">
        <f t="shared" si="10"/>
        <v>414.0625</v>
      </c>
      <c r="Z67" s="321">
        <f t="shared" si="11"/>
        <v>156.25</v>
      </c>
      <c r="AA67" s="321">
        <f t="shared" si="12"/>
        <v>7.8125</v>
      </c>
      <c r="AB67" s="303">
        <f t="shared" si="13"/>
        <v>7.8125</v>
      </c>
      <c r="AC67" s="308">
        <v>1.3</v>
      </c>
      <c r="AD67" s="308">
        <v>1.325</v>
      </c>
      <c r="AE67" s="308">
        <v>1.25</v>
      </c>
      <c r="AF67" s="309">
        <v>2500</v>
      </c>
      <c r="AG67" s="310">
        <v>2500</v>
      </c>
      <c r="AH67" s="97">
        <v>830</v>
      </c>
      <c r="AI67" s="97">
        <v>2818</v>
      </c>
      <c r="AJ67" s="97">
        <v>6295</v>
      </c>
      <c r="AK67" s="97">
        <v>19050</v>
      </c>
      <c r="AL67" s="97">
        <v>22050</v>
      </c>
      <c r="AM67" s="319">
        <f t="shared" si="25"/>
        <v>21580</v>
      </c>
      <c r="AN67" s="322">
        <f t="shared" si="25"/>
        <v>746770</v>
      </c>
      <c r="AO67" s="322">
        <f t="shared" si="25"/>
        <v>629500</v>
      </c>
      <c r="AP67" s="322">
        <f t="shared" si="25"/>
        <v>95250</v>
      </c>
      <c r="AQ67" s="323">
        <f t="shared" si="25"/>
        <v>110250</v>
      </c>
      <c r="AR67" s="311">
        <f>SUM(Tabla1[[#This Row],[COSTO OPERATIVO ACIDO]:[COSTO OPERATIVO CATIONICO]])</f>
        <v>1603350</v>
      </c>
      <c r="AS67" s="319">
        <v>3599</v>
      </c>
      <c r="AT67" s="314">
        <f t="shared" si="71"/>
        <v>2505.234375</v>
      </c>
      <c r="AU67" s="220">
        <f>IFERROR(Tabla1[[#This Row],[CAUDAL TOTAL TRATADO GEM ]]/Tabla1[[#This Row],[CAUDAL DE TRATAMIENTO]],0)</f>
        <v>8</v>
      </c>
    </row>
    <row r="68" spans="1:47" thickBot="1" x14ac:dyDescent="0.3">
      <c r="A68" s="116">
        <f t="shared" ref="A68" si="72">+A67+1</f>
        <v>46135</v>
      </c>
      <c r="B68" s="96">
        <v>23</v>
      </c>
      <c r="C68" s="211" t="s">
        <v>297</v>
      </c>
      <c r="D68" s="212">
        <v>67</v>
      </c>
      <c r="E68" s="212" t="s">
        <v>75</v>
      </c>
      <c r="F68" s="304">
        <v>2230</v>
      </c>
      <c r="G68" s="305">
        <v>6000</v>
      </c>
      <c r="H68" s="305">
        <v>2640</v>
      </c>
      <c r="I68" s="305">
        <f>+I67-5</f>
        <v>160</v>
      </c>
      <c r="J68" s="305">
        <f t="shared" ref="J68" si="73">+J67-5</f>
        <v>205</v>
      </c>
      <c r="K68" s="324">
        <v>17885</v>
      </c>
      <c r="L68" s="220">
        <f t="shared" si="70"/>
        <v>595</v>
      </c>
      <c r="M68" s="220">
        <v>85</v>
      </c>
      <c r="N68" s="298">
        <f t="shared" si="23"/>
        <v>20</v>
      </c>
      <c r="O68" s="327">
        <f t="shared" si="23"/>
        <v>150</v>
      </c>
      <c r="P68" s="298">
        <f t="shared" si="24"/>
        <v>80</v>
      </c>
      <c r="Q68" s="298">
        <f t="shared" si="24"/>
        <v>5</v>
      </c>
      <c r="R68" s="298">
        <f t="shared" si="24"/>
        <v>10</v>
      </c>
      <c r="S68" s="306">
        <f t="shared" si="6"/>
        <v>26</v>
      </c>
      <c r="T68" s="307">
        <f t="shared" si="7"/>
        <v>198.75</v>
      </c>
      <c r="U68" s="307">
        <f t="shared" si="8"/>
        <v>100</v>
      </c>
      <c r="V68" s="307">
        <f>Tabla1[[#This Row],[CONSUMO POL ANIONICO (KG)]]</f>
        <v>5</v>
      </c>
      <c r="W68" s="299">
        <f>Tabla1[[#This Row],[CONSUMO POL CATIONICO (KG)]]</f>
        <v>10</v>
      </c>
      <c r="X68" s="306">
        <f t="shared" si="9"/>
        <v>43.69747899159664</v>
      </c>
      <c r="Y68" s="307">
        <f t="shared" si="10"/>
        <v>334.03361344537814</v>
      </c>
      <c r="Z68" s="307">
        <f t="shared" si="11"/>
        <v>168.0672268907563</v>
      </c>
      <c r="AA68" s="307">
        <f t="shared" si="12"/>
        <v>8.4033613445378155</v>
      </c>
      <c r="AB68" s="299">
        <f t="shared" si="13"/>
        <v>16.806722689075631</v>
      </c>
      <c r="AC68" s="308">
        <v>1.3</v>
      </c>
      <c r="AD68" s="308">
        <v>1.325</v>
      </c>
      <c r="AE68" s="308">
        <v>1.25</v>
      </c>
      <c r="AF68" s="309">
        <v>2500</v>
      </c>
      <c r="AG68" s="310">
        <v>2500</v>
      </c>
      <c r="AH68" s="97">
        <v>830</v>
      </c>
      <c r="AI68" s="97">
        <v>2818</v>
      </c>
      <c r="AJ68" s="97">
        <v>6295</v>
      </c>
      <c r="AK68" s="97">
        <v>19050</v>
      </c>
      <c r="AL68" s="97">
        <v>22050</v>
      </c>
      <c r="AM68" s="311">
        <f t="shared" si="25"/>
        <v>21580</v>
      </c>
      <c r="AN68" s="312">
        <f t="shared" si="25"/>
        <v>560077.5</v>
      </c>
      <c r="AO68" s="312">
        <f t="shared" si="25"/>
        <v>629500</v>
      </c>
      <c r="AP68" s="312">
        <f t="shared" si="25"/>
        <v>95250</v>
      </c>
      <c r="AQ68" s="313">
        <f t="shared" si="25"/>
        <v>220500</v>
      </c>
      <c r="AR68" s="311">
        <f>SUM(Tabla1[[#This Row],[COSTO OPERATIVO ACIDO]:[COSTO OPERATIVO CATIONICO]])</f>
        <v>1526907.5</v>
      </c>
      <c r="AS68" s="311">
        <v>3599</v>
      </c>
      <c r="AT68" s="314">
        <f t="shared" si="71"/>
        <v>2566.2310924369749</v>
      </c>
      <c r="AU68" s="220">
        <f>IFERROR(Tabla1[[#This Row],[CAUDAL TOTAL TRATADO GEM ]]/Tabla1[[#This Row],[CAUDAL DE TRATAMIENTO]],0)</f>
        <v>7</v>
      </c>
    </row>
    <row r="69" spans="1:47" ht="15.75" thickBot="1" x14ac:dyDescent="0.3">
      <c r="A69" s="431">
        <f t="shared" ref="A69:A70" si="74">+A68</f>
        <v>46135</v>
      </c>
      <c r="B69" s="96">
        <v>23</v>
      </c>
      <c r="C69" s="213" t="s">
        <v>298</v>
      </c>
      <c r="D69" s="214">
        <v>68</v>
      </c>
      <c r="E69" s="214" t="s">
        <v>77</v>
      </c>
      <c r="F69" s="315">
        <v>2210</v>
      </c>
      <c r="G69" s="316">
        <v>5850</v>
      </c>
      <c r="H69" s="316">
        <v>2560</v>
      </c>
      <c r="I69" s="316">
        <f>+I68-5</f>
        <v>155</v>
      </c>
      <c r="J69" s="316">
        <f>+J68-10</f>
        <v>195</v>
      </c>
      <c r="K69" s="325">
        <v>17892</v>
      </c>
      <c r="L69" s="219">
        <f t="shared" si="70"/>
        <v>450</v>
      </c>
      <c r="M69" s="219">
        <v>90</v>
      </c>
      <c r="N69" s="300">
        <f t="shared" si="23"/>
        <v>190</v>
      </c>
      <c r="O69" s="328">
        <f t="shared" si="23"/>
        <v>120</v>
      </c>
      <c r="P69" s="300">
        <f t="shared" si="24"/>
        <v>60</v>
      </c>
      <c r="Q69" s="300">
        <f t="shared" si="24"/>
        <v>0</v>
      </c>
      <c r="R69" s="298">
        <f t="shared" si="24"/>
        <v>0</v>
      </c>
      <c r="S69" s="306">
        <f t="shared" ref="S69:S94" si="75">(N69*$AC$2)</f>
        <v>247</v>
      </c>
      <c r="T69" s="307">
        <f t="shared" ref="T69:T94" si="76">(O69*$AD$2)</f>
        <v>159</v>
      </c>
      <c r="U69" s="307">
        <f t="shared" ref="U69:U94" si="77">(P69*$AE$2)</f>
        <v>75</v>
      </c>
      <c r="V69" s="317">
        <f>Tabla1[[#This Row],[CONSUMO POL ANIONICO (KG)]]</f>
        <v>0</v>
      </c>
      <c r="W69" s="301">
        <f>Tabla1[[#This Row],[CONSUMO POL CATIONICO (KG)]]</f>
        <v>0</v>
      </c>
      <c r="X69" s="318">
        <f t="shared" ref="X69:X94" si="78">(S69*1000)/L69</f>
        <v>548.88888888888891</v>
      </c>
      <c r="Y69" s="317">
        <f t="shared" ref="Y69:Y94" si="79">(T69*1000)/L69</f>
        <v>353.33333333333331</v>
      </c>
      <c r="Z69" s="317">
        <f t="shared" ref="Z69:Z94" si="80">(U69*1000)/L69</f>
        <v>166.66666666666666</v>
      </c>
      <c r="AA69" s="317">
        <f t="shared" ref="AA69:AA94" si="81">(V69*1000)/L69</f>
        <v>0</v>
      </c>
      <c r="AB69" s="301">
        <f t="shared" ref="AB69:AB94" si="82">(W69*1000)/L69</f>
        <v>0</v>
      </c>
      <c r="AC69" s="308">
        <v>1.3</v>
      </c>
      <c r="AD69" s="308">
        <v>1.325</v>
      </c>
      <c r="AE69" s="308">
        <v>1.25</v>
      </c>
      <c r="AF69" s="309">
        <v>2500</v>
      </c>
      <c r="AG69" s="310">
        <v>2500</v>
      </c>
      <c r="AH69" s="97">
        <v>830</v>
      </c>
      <c r="AI69" s="97">
        <v>2818</v>
      </c>
      <c r="AJ69" s="97">
        <v>6295</v>
      </c>
      <c r="AK69" s="97">
        <v>19050</v>
      </c>
      <c r="AL69" s="97">
        <v>22050</v>
      </c>
      <c r="AM69" s="319">
        <f t="shared" ref="AM69:AQ94" si="83">S69*AH69</f>
        <v>205010</v>
      </c>
      <c r="AN69" s="314">
        <f t="shared" si="83"/>
        <v>448062</v>
      </c>
      <c r="AO69" s="314">
        <f t="shared" si="83"/>
        <v>472125</v>
      </c>
      <c r="AP69" s="314">
        <f t="shared" si="83"/>
        <v>0</v>
      </c>
      <c r="AQ69" s="320">
        <f t="shared" si="83"/>
        <v>0</v>
      </c>
      <c r="AR69" s="311">
        <f>SUM(Tabla1[[#This Row],[COSTO OPERATIVO ACIDO]:[COSTO OPERATIVO CATIONICO]])</f>
        <v>1125197</v>
      </c>
      <c r="AS69" s="319">
        <v>3599</v>
      </c>
      <c r="AT69" s="314">
        <f t="shared" si="71"/>
        <v>2500.4377777777777</v>
      </c>
      <c r="AU69" s="220">
        <f>IFERROR(Tabla1[[#This Row],[CAUDAL TOTAL TRATADO GEM ]]/Tabla1[[#This Row],[CAUDAL DE TRATAMIENTO]],0)</f>
        <v>5</v>
      </c>
    </row>
    <row r="70" spans="1:47" thickBot="1" x14ac:dyDescent="0.3">
      <c r="A70" s="432">
        <f t="shared" si="74"/>
        <v>46135</v>
      </c>
      <c r="B70" s="96">
        <v>23</v>
      </c>
      <c r="C70" s="215" t="s">
        <v>30</v>
      </c>
      <c r="D70" s="216">
        <v>69</v>
      </c>
      <c r="E70" s="216" t="s">
        <v>76</v>
      </c>
      <c r="F70" s="315">
        <v>2020</v>
      </c>
      <c r="G70" s="316">
        <v>5730</v>
      </c>
      <c r="H70" s="316">
        <v>2500</v>
      </c>
      <c r="I70" s="316">
        <f>+I69-0</f>
        <v>155</v>
      </c>
      <c r="J70" s="316">
        <f t="shared" ref="J70" si="84">+J69-0</f>
        <v>195</v>
      </c>
      <c r="K70" s="326">
        <v>17897</v>
      </c>
      <c r="L70" s="221">
        <f t="shared" si="70"/>
        <v>450</v>
      </c>
      <c r="M70" s="221">
        <v>90</v>
      </c>
      <c r="N70" s="302">
        <f t="shared" si="23"/>
        <v>110</v>
      </c>
      <c r="O70" s="575">
        <f>G70-G71-160</f>
        <v>90</v>
      </c>
      <c r="P70" s="302">
        <f t="shared" si="24"/>
        <v>10</v>
      </c>
      <c r="Q70" s="302">
        <f t="shared" si="24"/>
        <v>5</v>
      </c>
      <c r="R70" s="298">
        <f t="shared" si="24"/>
        <v>10</v>
      </c>
      <c r="S70" s="306">
        <f t="shared" si="75"/>
        <v>143</v>
      </c>
      <c r="T70" s="307">
        <f t="shared" si="76"/>
        <v>119.25</v>
      </c>
      <c r="U70" s="307">
        <f t="shared" si="77"/>
        <v>12.5</v>
      </c>
      <c r="V70" s="321">
        <f>Tabla1[[#This Row],[CONSUMO POL ANIONICO (KG)]]</f>
        <v>5</v>
      </c>
      <c r="W70" s="303">
        <f>Tabla1[[#This Row],[CONSUMO POL CATIONICO (KG)]]</f>
        <v>10</v>
      </c>
      <c r="X70" s="318">
        <f t="shared" si="78"/>
        <v>317.77777777777777</v>
      </c>
      <c r="Y70" s="321">
        <f t="shared" si="79"/>
        <v>265</v>
      </c>
      <c r="Z70" s="321">
        <f t="shared" si="80"/>
        <v>27.777777777777779</v>
      </c>
      <c r="AA70" s="321">
        <f t="shared" si="81"/>
        <v>11.111111111111111</v>
      </c>
      <c r="AB70" s="303">
        <f t="shared" si="82"/>
        <v>22.222222222222221</v>
      </c>
      <c r="AC70" s="308">
        <v>1.3</v>
      </c>
      <c r="AD70" s="308">
        <v>1.325</v>
      </c>
      <c r="AE70" s="308">
        <v>1.25</v>
      </c>
      <c r="AF70" s="309">
        <v>2500</v>
      </c>
      <c r="AG70" s="310">
        <v>2500</v>
      </c>
      <c r="AH70" s="97">
        <v>830</v>
      </c>
      <c r="AI70" s="97">
        <v>2818</v>
      </c>
      <c r="AJ70" s="97">
        <v>6295</v>
      </c>
      <c r="AK70" s="97">
        <v>19050</v>
      </c>
      <c r="AL70" s="97">
        <v>22050</v>
      </c>
      <c r="AM70" s="319">
        <f t="shared" si="83"/>
        <v>118690</v>
      </c>
      <c r="AN70" s="322">
        <f t="shared" si="83"/>
        <v>336046.5</v>
      </c>
      <c r="AO70" s="322">
        <f t="shared" si="83"/>
        <v>78687.5</v>
      </c>
      <c r="AP70" s="322">
        <f t="shared" si="83"/>
        <v>95250</v>
      </c>
      <c r="AQ70" s="323">
        <f t="shared" si="83"/>
        <v>220500</v>
      </c>
      <c r="AR70" s="311">
        <f>SUM(Tabla1[[#This Row],[COSTO OPERATIVO ACIDO]:[COSTO OPERATIVO CATIONICO]])</f>
        <v>849174</v>
      </c>
      <c r="AS70" s="319">
        <v>3599</v>
      </c>
      <c r="AT70" s="314">
        <f t="shared" si="71"/>
        <v>1887.0533333333333</v>
      </c>
      <c r="AU70" s="220">
        <f>IFERROR(Tabla1[[#This Row],[CAUDAL TOTAL TRATADO GEM ]]/Tabla1[[#This Row],[CAUDAL DE TRATAMIENTO]],0)</f>
        <v>5</v>
      </c>
    </row>
    <row r="71" spans="1:47" thickBot="1" x14ac:dyDescent="0.3">
      <c r="A71" s="116">
        <f t="shared" ref="A71" si="85">+A70+1</f>
        <v>46136</v>
      </c>
      <c r="B71" s="96">
        <v>24</v>
      </c>
      <c r="C71" s="211" t="s">
        <v>299</v>
      </c>
      <c r="D71" s="212">
        <v>70</v>
      </c>
      <c r="E71" s="212" t="s">
        <v>75</v>
      </c>
      <c r="F71" s="304">
        <v>1910</v>
      </c>
      <c r="G71" s="305">
        <v>5480</v>
      </c>
      <c r="H71" s="305">
        <v>2490</v>
      </c>
      <c r="I71" s="305">
        <f>+I70-5</f>
        <v>150</v>
      </c>
      <c r="J71" s="305">
        <f>+J70-10</f>
        <v>185</v>
      </c>
      <c r="K71" s="324">
        <v>17902</v>
      </c>
      <c r="L71" s="220">
        <f t="shared" si="70"/>
        <v>560</v>
      </c>
      <c r="M71" s="220">
        <v>80</v>
      </c>
      <c r="N71" s="298">
        <f t="shared" si="23"/>
        <v>160</v>
      </c>
      <c r="O71" s="327">
        <f t="shared" si="23"/>
        <v>120</v>
      </c>
      <c r="P71" s="298">
        <f t="shared" si="24"/>
        <v>40</v>
      </c>
      <c r="Q71" s="298">
        <f t="shared" si="24"/>
        <v>5</v>
      </c>
      <c r="R71" s="298">
        <f t="shared" si="24"/>
        <v>5</v>
      </c>
      <c r="S71" s="306">
        <f t="shared" si="75"/>
        <v>208</v>
      </c>
      <c r="T71" s="307">
        <f t="shared" si="76"/>
        <v>159</v>
      </c>
      <c r="U71" s="307">
        <f t="shared" si="77"/>
        <v>50</v>
      </c>
      <c r="V71" s="307">
        <f>Tabla1[[#This Row],[CONSUMO POL ANIONICO (KG)]]</f>
        <v>5</v>
      </c>
      <c r="W71" s="299">
        <f>Tabla1[[#This Row],[CONSUMO POL CATIONICO (KG)]]</f>
        <v>5</v>
      </c>
      <c r="X71" s="306">
        <f t="shared" si="78"/>
        <v>371.42857142857144</v>
      </c>
      <c r="Y71" s="307">
        <f t="shared" si="79"/>
        <v>283.92857142857144</v>
      </c>
      <c r="Z71" s="307">
        <f t="shared" si="80"/>
        <v>89.285714285714292</v>
      </c>
      <c r="AA71" s="307">
        <f t="shared" si="81"/>
        <v>8.9285714285714288</v>
      </c>
      <c r="AB71" s="299">
        <f t="shared" si="82"/>
        <v>8.9285714285714288</v>
      </c>
      <c r="AC71" s="308">
        <v>1.3</v>
      </c>
      <c r="AD71" s="308">
        <v>1.325</v>
      </c>
      <c r="AE71" s="308">
        <v>1.25</v>
      </c>
      <c r="AF71" s="309">
        <v>2500</v>
      </c>
      <c r="AG71" s="310">
        <v>2500</v>
      </c>
      <c r="AH71" s="97">
        <v>830</v>
      </c>
      <c r="AI71" s="97">
        <v>2818</v>
      </c>
      <c r="AJ71" s="97">
        <v>6295</v>
      </c>
      <c r="AK71" s="97">
        <v>19050</v>
      </c>
      <c r="AL71" s="97">
        <v>22050</v>
      </c>
      <c r="AM71" s="311">
        <f t="shared" si="83"/>
        <v>172640</v>
      </c>
      <c r="AN71" s="312">
        <f t="shared" si="83"/>
        <v>448062</v>
      </c>
      <c r="AO71" s="312">
        <f t="shared" si="83"/>
        <v>314750</v>
      </c>
      <c r="AP71" s="312">
        <f t="shared" si="83"/>
        <v>95250</v>
      </c>
      <c r="AQ71" s="313">
        <f t="shared" si="83"/>
        <v>110250</v>
      </c>
      <c r="AR71" s="311">
        <f>SUM(Tabla1[[#This Row],[COSTO OPERATIVO ACIDO]:[COSTO OPERATIVO CATIONICO]])</f>
        <v>1140952</v>
      </c>
      <c r="AS71" s="311">
        <v>3599</v>
      </c>
      <c r="AT71" s="314">
        <f t="shared" si="71"/>
        <v>2037.4142857142858</v>
      </c>
      <c r="AU71" s="220">
        <f>IFERROR(Tabla1[[#This Row],[CAUDAL TOTAL TRATADO GEM ]]/Tabla1[[#This Row],[CAUDAL DE TRATAMIENTO]],0)</f>
        <v>7</v>
      </c>
    </row>
    <row r="72" spans="1:47" ht="15.75" thickBot="1" x14ac:dyDescent="0.3">
      <c r="A72" s="431">
        <f t="shared" ref="A72:A73" si="86">+A71</f>
        <v>46136</v>
      </c>
      <c r="B72" s="96">
        <v>24</v>
      </c>
      <c r="C72" s="213" t="s">
        <v>300</v>
      </c>
      <c r="D72" s="214">
        <v>71</v>
      </c>
      <c r="E72" s="214" t="s">
        <v>77</v>
      </c>
      <c r="F72" s="315">
        <v>1750</v>
      </c>
      <c r="G72" s="316">
        <v>5360</v>
      </c>
      <c r="H72" s="316">
        <v>2450</v>
      </c>
      <c r="I72" s="316">
        <f>+I71-5</f>
        <v>145</v>
      </c>
      <c r="J72" s="316">
        <f>+J71-5</f>
        <v>180</v>
      </c>
      <c r="K72" s="325">
        <v>17909</v>
      </c>
      <c r="L72" s="219">
        <f t="shared" si="70"/>
        <v>320</v>
      </c>
      <c r="M72" s="219">
        <v>80</v>
      </c>
      <c r="N72" s="300">
        <f>F72-F73+2000</f>
        <v>70</v>
      </c>
      <c r="O72" s="328">
        <f>G72-G73+1000</f>
        <v>110</v>
      </c>
      <c r="P72" s="300">
        <f t="shared" si="24"/>
        <v>10</v>
      </c>
      <c r="Q72" s="300">
        <f t="shared" si="24"/>
        <v>0</v>
      </c>
      <c r="R72" s="298">
        <f t="shared" si="24"/>
        <v>0</v>
      </c>
      <c r="S72" s="306">
        <f t="shared" si="75"/>
        <v>91</v>
      </c>
      <c r="T72" s="307">
        <f t="shared" si="76"/>
        <v>145.75</v>
      </c>
      <c r="U72" s="307">
        <f t="shared" si="77"/>
        <v>12.5</v>
      </c>
      <c r="V72" s="317">
        <f>Tabla1[[#This Row],[CONSUMO POL ANIONICO (KG)]]</f>
        <v>0</v>
      </c>
      <c r="W72" s="301">
        <f>Tabla1[[#This Row],[CONSUMO POL CATIONICO (KG)]]</f>
        <v>0</v>
      </c>
      <c r="X72" s="318">
        <f t="shared" si="78"/>
        <v>284.375</v>
      </c>
      <c r="Y72" s="317">
        <f t="shared" si="79"/>
        <v>455.46875</v>
      </c>
      <c r="Z72" s="317">
        <f t="shared" si="80"/>
        <v>39.0625</v>
      </c>
      <c r="AA72" s="317">
        <f t="shared" si="81"/>
        <v>0</v>
      </c>
      <c r="AB72" s="301">
        <f t="shared" si="82"/>
        <v>0</v>
      </c>
      <c r="AC72" s="308">
        <v>1.3</v>
      </c>
      <c r="AD72" s="308">
        <v>1.325</v>
      </c>
      <c r="AE72" s="308">
        <v>1.25</v>
      </c>
      <c r="AF72" s="309">
        <v>2500</v>
      </c>
      <c r="AG72" s="310">
        <v>2500</v>
      </c>
      <c r="AH72" s="97">
        <v>830</v>
      </c>
      <c r="AI72" s="97">
        <v>2818</v>
      </c>
      <c r="AJ72" s="97">
        <v>6295</v>
      </c>
      <c r="AK72" s="97">
        <v>19050</v>
      </c>
      <c r="AL72" s="97">
        <v>22050</v>
      </c>
      <c r="AM72" s="319">
        <f t="shared" si="83"/>
        <v>75530</v>
      </c>
      <c r="AN72" s="314">
        <f t="shared" si="83"/>
        <v>410723.5</v>
      </c>
      <c r="AO72" s="314">
        <f t="shared" si="83"/>
        <v>78687.5</v>
      </c>
      <c r="AP72" s="314">
        <f t="shared" si="83"/>
        <v>0</v>
      </c>
      <c r="AQ72" s="320">
        <f t="shared" si="83"/>
        <v>0</v>
      </c>
      <c r="AR72" s="311">
        <f>SUM(Tabla1[[#This Row],[COSTO OPERATIVO ACIDO]:[COSTO OPERATIVO CATIONICO]])</f>
        <v>564941</v>
      </c>
      <c r="AS72" s="319">
        <v>3599</v>
      </c>
      <c r="AT72" s="314">
        <f t="shared" si="71"/>
        <v>1765.440625</v>
      </c>
      <c r="AU72" s="220">
        <f>IFERROR(Tabla1[[#This Row],[CAUDAL TOTAL TRATADO GEM ]]/Tabla1[[#This Row],[CAUDAL DE TRATAMIENTO]],0)</f>
        <v>4</v>
      </c>
    </row>
    <row r="73" spans="1:47" s="233" customFormat="1" thickBot="1" x14ac:dyDescent="0.3">
      <c r="A73" s="432">
        <f t="shared" si="86"/>
        <v>46136</v>
      </c>
      <c r="B73" s="230">
        <v>24</v>
      </c>
      <c r="C73" s="236" t="s">
        <v>30</v>
      </c>
      <c r="D73" s="237">
        <v>72</v>
      </c>
      <c r="E73" s="237" t="s">
        <v>76</v>
      </c>
      <c r="F73" s="315">
        <v>3680</v>
      </c>
      <c r="G73" s="316">
        <v>6250</v>
      </c>
      <c r="H73" s="316">
        <v>2440</v>
      </c>
      <c r="I73" s="316">
        <f>+I72-0</f>
        <v>145</v>
      </c>
      <c r="J73" s="316">
        <f t="shared" ref="J73" si="87">+J72-0</f>
        <v>180</v>
      </c>
      <c r="K73" s="326">
        <v>17913</v>
      </c>
      <c r="L73" s="221">
        <f t="shared" si="70"/>
        <v>480</v>
      </c>
      <c r="M73" s="221">
        <v>80</v>
      </c>
      <c r="N73" s="302">
        <f t="shared" si="23"/>
        <v>80</v>
      </c>
      <c r="O73" s="329">
        <f t="shared" si="23"/>
        <v>80</v>
      </c>
      <c r="P73" s="302">
        <f t="shared" si="24"/>
        <v>100</v>
      </c>
      <c r="Q73" s="302">
        <f t="shared" si="24"/>
        <v>0</v>
      </c>
      <c r="R73" s="298">
        <f t="shared" si="24"/>
        <v>0</v>
      </c>
      <c r="S73" s="306">
        <f t="shared" si="75"/>
        <v>104</v>
      </c>
      <c r="T73" s="307">
        <f t="shared" si="76"/>
        <v>106</v>
      </c>
      <c r="U73" s="307">
        <f t="shared" si="77"/>
        <v>125</v>
      </c>
      <c r="V73" s="321">
        <f>Tabla1[[#This Row],[CONSUMO POL ANIONICO (KG)]]</f>
        <v>0</v>
      </c>
      <c r="W73" s="303">
        <f>Tabla1[[#This Row],[CONSUMO POL CATIONICO (KG)]]</f>
        <v>0</v>
      </c>
      <c r="X73" s="318">
        <f t="shared" si="78"/>
        <v>216.66666666666666</v>
      </c>
      <c r="Y73" s="321">
        <f t="shared" si="79"/>
        <v>220.83333333333334</v>
      </c>
      <c r="Z73" s="321">
        <f t="shared" si="80"/>
        <v>260.41666666666669</v>
      </c>
      <c r="AA73" s="321">
        <f t="shared" si="81"/>
        <v>0</v>
      </c>
      <c r="AB73" s="303">
        <f t="shared" si="82"/>
        <v>0</v>
      </c>
      <c r="AC73" s="308">
        <v>1.3</v>
      </c>
      <c r="AD73" s="308">
        <v>1.325</v>
      </c>
      <c r="AE73" s="308">
        <v>1.25</v>
      </c>
      <c r="AF73" s="309">
        <v>2500</v>
      </c>
      <c r="AG73" s="310">
        <v>2500</v>
      </c>
      <c r="AH73" s="97">
        <v>830</v>
      </c>
      <c r="AI73" s="97">
        <v>2818</v>
      </c>
      <c r="AJ73" s="97">
        <v>6295</v>
      </c>
      <c r="AK73" s="97">
        <v>19050</v>
      </c>
      <c r="AL73" s="97">
        <v>22050</v>
      </c>
      <c r="AM73" s="319">
        <f t="shared" si="83"/>
        <v>86320</v>
      </c>
      <c r="AN73" s="322">
        <f t="shared" si="83"/>
        <v>298708</v>
      </c>
      <c r="AO73" s="322">
        <f t="shared" si="83"/>
        <v>786875</v>
      </c>
      <c r="AP73" s="322">
        <f t="shared" si="83"/>
        <v>0</v>
      </c>
      <c r="AQ73" s="323">
        <f t="shared" si="83"/>
        <v>0</v>
      </c>
      <c r="AR73" s="311">
        <f>SUM(Tabla1[[#This Row],[COSTO OPERATIVO ACIDO]:[COSTO OPERATIVO CATIONICO]])</f>
        <v>1171903</v>
      </c>
      <c r="AS73" s="319">
        <v>3599</v>
      </c>
      <c r="AT73" s="314">
        <f t="shared" si="71"/>
        <v>2441.4645833333334</v>
      </c>
      <c r="AU73" s="220">
        <f>IFERROR(Tabla1[[#This Row],[CAUDAL TOTAL TRATADO GEM ]]/Tabla1[[#This Row],[CAUDAL DE TRATAMIENTO]],0)</f>
        <v>6</v>
      </c>
    </row>
    <row r="74" spans="1:47" s="233" customFormat="1" thickBot="1" x14ac:dyDescent="0.3">
      <c r="A74" s="116">
        <f t="shared" ref="A74" si="88">+A73+1</f>
        <v>46137</v>
      </c>
      <c r="B74" s="230">
        <v>25</v>
      </c>
      <c r="C74" s="231" t="s">
        <v>301</v>
      </c>
      <c r="D74" s="232">
        <v>73</v>
      </c>
      <c r="E74" s="232" t="s">
        <v>75</v>
      </c>
      <c r="F74" s="304">
        <v>3600</v>
      </c>
      <c r="G74" s="305">
        <v>6170</v>
      </c>
      <c r="H74" s="305">
        <v>2340</v>
      </c>
      <c r="I74" s="305">
        <f>+I73-0</f>
        <v>145</v>
      </c>
      <c r="J74" s="305">
        <f>+J73-0</f>
        <v>180</v>
      </c>
      <c r="K74" s="324">
        <v>17919</v>
      </c>
      <c r="L74" s="220">
        <f t="shared" si="70"/>
        <v>480</v>
      </c>
      <c r="M74" s="220">
        <v>80</v>
      </c>
      <c r="N74" s="298">
        <f>F74-F75</f>
        <v>110</v>
      </c>
      <c r="O74" s="327">
        <f t="shared" si="23"/>
        <v>190</v>
      </c>
      <c r="P74" s="298">
        <f t="shared" si="24"/>
        <v>40</v>
      </c>
      <c r="Q74" s="298">
        <f t="shared" si="24"/>
        <v>5</v>
      </c>
      <c r="R74" s="298">
        <f t="shared" si="24"/>
        <v>5</v>
      </c>
      <c r="S74" s="306">
        <f t="shared" si="75"/>
        <v>143</v>
      </c>
      <c r="T74" s="307">
        <f t="shared" si="76"/>
        <v>251.75</v>
      </c>
      <c r="U74" s="307">
        <f t="shared" si="77"/>
        <v>50</v>
      </c>
      <c r="V74" s="307">
        <f>Tabla1[[#This Row],[CONSUMO POL ANIONICO (KG)]]</f>
        <v>5</v>
      </c>
      <c r="W74" s="299">
        <f>Tabla1[[#This Row],[CONSUMO POL CATIONICO (KG)]]</f>
        <v>5</v>
      </c>
      <c r="X74" s="306">
        <f t="shared" si="78"/>
        <v>297.91666666666669</v>
      </c>
      <c r="Y74" s="307">
        <f t="shared" si="79"/>
        <v>524.47916666666663</v>
      </c>
      <c r="Z74" s="307">
        <f t="shared" si="80"/>
        <v>104.16666666666667</v>
      </c>
      <c r="AA74" s="307">
        <f t="shared" si="81"/>
        <v>10.416666666666666</v>
      </c>
      <c r="AB74" s="299">
        <f t="shared" si="82"/>
        <v>10.416666666666666</v>
      </c>
      <c r="AC74" s="308">
        <v>1.3</v>
      </c>
      <c r="AD74" s="308">
        <v>1.325</v>
      </c>
      <c r="AE74" s="308">
        <v>1.25</v>
      </c>
      <c r="AF74" s="309">
        <v>2500</v>
      </c>
      <c r="AG74" s="310">
        <v>2500</v>
      </c>
      <c r="AH74" s="97">
        <v>830</v>
      </c>
      <c r="AI74" s="97">
        <v>2818</v>
      </c>
      <c r="AJ74" s="97">
        <v>6295</v>
      </c>
      <c r="AK74" s="97">
        <v>19050</v>
      </c>
      <c r="AL74" s="97">
        <v>22050</v>
      </c>
      <c r="AM74" s="311">
        <f t="shared" si="83"/>
        <v>118690</v>
      </c>
      <c r="AN74" s="312">
        <f t="shared" si="83"/>
        <v>709431.5</v>
      </c>
      <c r="AO74" s="312">
        <f t="shared" si="83"/>
        <v>314750</v>
      </c>
      <c r="AP74" s="312">
        <f t="shared" si="83"/>
        <v>95250</v>
      </c>
      <c r="AQ74" s="313">
        <f t="shared" si="83"/>
        <v>110250</v>
      </c>
      <c r="AR74" s="311">
        <f>SUM(Tabla1[[#This Row],[COSTO OPERATIVO ACIDO]:[COSTO OPERATIVO CATIONICO]])</f>
        <v>1348371.5</v>
      </c>
      <c r="AS74" s="311">
        <v>3599</v>
      </c>
      <c r="AT74" s="314">
        <f t="shared" si="71"/>
        <v>2809.1072916666667</v>
      </c>
      <c r="AU74" s="220">
        <f>IFERROR(Tabla1[[#This Row],[CAUDAL TOTAL TRATADO GEM ]]/Tabla1[[#This Row],[CAUDAL DE TRATAMIENTO]],0)</f>
        <v>6</v>
      </c>
    </row>
    <row r="75" spans="1:47" s="233" customFormat="1" ht="15.75" thickBot="1" x14ac:dyDescent="0.3">
      <c r="A75" s="431">
        <f t="shared" ref="A75:A76" si="89">+A74</f>
        <v>46137</v>
      </c>
      <c r="B75" s="230">
        <v>25</v>
      </c>
      <c r="C75" s="234" t="s">
        <v>302</v>
      </c>
      <c r="D75" s="235">
        <v>74</v>
      </c>
      <c r="E75" s="235" t="s">
        <v>77</v>
      </c>
      <c r="F75" s="315">
        <v>3490</v>
      </c>
      <c r="G75" s="316">
        <v>5980</v>
      </c>
      <c r="H75" s="316">
        <v>2300</v>
      </c>
      <c r="I75" s="316">
        <f>+I74-5</f>
        <v>140</v>
      </c>
      <c r="J75" s="316">
        <f>+J74-5</f>
        <v>175</v>
      </c>
      <c r="K75" s="325">
        <v>17925</v>
      </c>
      <c r="L75" s="219">
        <f t="shared" si="70"/>
        <v>480</v>
      </c>
      <c r="M75" s="219">
        <v>80</v>
      </c>
      <c r="N75" s="300">
        <f t="shared" si="23"/>
        <v>160</v>
      </c>
      <c r="O75" s="328">
        <f t="shared" si="23"/>
        <v>80</v>
      </c>
      <c r="P75" s="300">
        <f t="shared" si="24"/>
        <v>15</v>
      </c>
      <c r="Q75" s="300">
        <f t="shared" si="24"/>
        <v>0</v>
      </c>
      <c r="R75" s="298">
        <f t="shared" si="24"/>
        <v>5</v>
      </c>
      <c r="S75" s="306">
        <f t="shared" si="75"/>
        <v>208</v>
      </c>
      <c r="T75" s="307">
        <f t="shared" si="76"/>
        <v>106</v>
      </c>
      <c r="U75" s="307">
        <f t="shared" si="77"/>
        <v>18.75</v>
      </c>
      <c r="V75" s="317">
        <f>Tabla1[[#This Row],[CONSUMO POL ANIONICO (KG)]]</f>
        <v>0</v>
      </c>
      <c r="W75" s="301">
        <f>Tabla1[[#This Row],[CONSUMO POL CATIONICO (KG)]]</f>
        <v>5</v>
      </c>
      <c r="X75" s="318">
        <f t="shared" si="78"/>
        <v>433.33333333333331</v>
      </c>
      <c r="Y75" s="317">
        <f t="shared" si="79"/>
        <v>220.83333333333334</v>
      </c>
      <c r="Z75" s="317">
        <f t="shared" si="80"/>
        <v>39.0625</v>
      </c>
      <c r="AA75" s="317">
        <f t="shared" si="81"/>
        <v>0</v>
      </c>
      <c r="AB75" s="301">
        <f t="shared" si="82"/>
        <v>10.416666666666666</v>
      </c>
      <c r="AC75" s="308">
        <v>1.3</v>
      </c>
      <c r="AD75" s="308">
        <v>1.325</v>
      </c>
      <c r="AE75" s="308">
        <v>1.25</v>
      </c>
      <c r="AF75" s="309">
        <v>2500</v>
      </c>
      <c r="AG75" s="310">
        <v>2500</v>
      </c>
      <c r="AH75" s="97">
        <v>830</v>
      </c>
      <c r="AI75" s="97">
        <v>2818</v>
      </c>
      <c r="AJ75" s="97">
        <v>6295</v>
      </c>
      <c r="AK75" s="97">
        <v>19050</v>
      </c>
      <c r="AL75" s="97">
        <v>22050</v>
      </c>
      <c r="AM75" s="319">
        <f t="shared" si="83"/>
        <v>172640</v>
      </c>
      <c r="AN75" s="314">
        <f t="shared" si="83"/>
        <v>298708</v>
      </c>
      <c r="AO75" s="314">
        <f t="shared" si="83"/>
        <v>118031.25</v>
      </c>
      <c r="AP75" s="314">
        <f t="shared" si="83"/>
        <v>0</v>
      </c>
      <c r="AQ75" s="320">
        <f t="shared" si="83"/>
        <v>110250</v>
      </c>
      <c r="AR75" s="311">
        <f>SUM(Tabla1[[#This Row],[COSTO OPERATIVO ACIDO]:[COSTO OPERATIVO CATIONICO]])</f>
        <v>699629.25</v>
      </c>
      <c r="AS75" s="319">
        <v>3599</v>
      </c>
      <c r="AT75" s="314">
        <f t="shared" si="71"/>
        <v>1457.5609374999999</v>
      </c>
      <c r="AU75" s="220">
        <f>IFERROR(Tabla1[[#This Row],[CAUDAL TOTAL TRATADO GEM ]]/Tabla1[[#This Row],[CAUDAL DE TRATAMIENTO]],0)</f>
        <v>6</v>
      </c>
    </row>
    <row r="76" spans="1:47" s="233" customFormat="1" thickBot="1" x14ac:dyDescent="0.3">
      <c r="A76" s="432">
        <f t="shared" si="89"/>
        <v>46137</v>
      </c>
      <c r="B76" s="230">
        <v>25</v>
      </c>
      <c r="C76" s="236" t="s">
        <v>30</v>
      </c>
      <c r="D76" s="237">
        <v>75</v>
      </c>
      <c r="E76" s="237" t="s">
        <v>76</v>
      </c>
      <c r="F76" s="315">
        <v>3330</v>
      </c>
      <c r="G76" s="316">
        <v>5900</v>
      </c>
      <c r="H76" s="316">
        <v>2285</v>
      </c>
      <c r="I76" s="316">
        <f>+I75-0</f>
        <v>140</v>
      </c>
      <c r="J76" s="316">
        <f>+J75-5</f>
        <v>170</v>
      </c>
      <c r="K76" s="326">
        <v>17931</v>
      </c>
      <c r="L76" s="221">
        <f t="shared" si="70"/>
        <v>400</v>
      </c>
      <c r="M76" s="221">
        <v>80</v>
      </c>
      <c r="N76" s="302">
        <f t="shared" si="23"/>
        <v>30</v>
      </c>
      <c r="O76" s="329">
        <f t="shared" si="23"/>
        <v>140</v>
      </c>
      <c r="P76" s="302">
        <f t="shared" si="24"/>
        <v>85</v>
      </c>
      <c r="Q76" s="302">
        <f t="shared" si="24"/>
        <v>0</v>
      </c>
      <c r="R76" s="298">
        <f t="shared" si="24"/>
        <v>5</v>
      </c>
      <c r="S76" s="306">
        <f t="shared" si="75"/>
        <v>39</v>
      </c>
      <c r="T76" s="307">
        <f t="shared" si="76"/>
        <v>185.5</v>
      </c>
      <c r="U76" s="307">
        <f t="shared" si="77"/>
        <v>106.25</v>
      </c>
      <c r="V76" s="321">
        <f>Tabla1[[#This Row],[CONSUMO POL ANIONICO (KG)]]</f>
        <v>0</v>
      </c>
      <c r="W76" s="303">
        <f>Tabla1[[#This Row],[CONSUMO POL CATIONICO (KG)]]</f>
        <v>5</v>
      </c>
      <c r="X76" s="318">
        <f t="shared" si="78"/>
        <v>97.5</v>
      </c>
      <c r="Y76" s="321">
        <f t="shared" si="79"/>
        <v>463.75</v>
      </c>
      <c r="Z76" s="321">
        <f t="shared" si="80"/>
        <v>265.625</v>
      </c>
      <c r="AA76" s="321">
        <f t="shared" si="81"/>
        <v>0</v>
      </c>
      <c r="AB76" s="303">
        <f t="shared" si="82"/>
        <v>12.5</v>
      </c>
      <c r="AC76" s="308">
        <v>1.3</v>
      </c>
      <c r="AD76" s="308">
        <v>1.325</v>
      </c>
      <c r="AE76" s="308">
        <v>1.25</v>
      </c>
      <c r="AF76" s="309">
        <v>2500</v>
      </c>
      <c r="AG76" s="310">
        <v>2500</v>
      </c>
      <c r="AH76" s="97">
        <v>830</v>
      </c>
      <c r="AI76" s="97">
        <v>2818</v>
      </c>
      <c r="AJ76" s="97">
        <v>6295</v>
      </c>
      <c r="AK76" s="97">
        <v>19050</v>
      </c>
      <c r="AL76" s="97">
        <v>22050</v>
      </c>
      <c r="AM76" s="319">
        <f t="shared" si="83"/>
        <v>32370</v>
      </c>
      <c r="AN76" s="322">
        <f t="shared" si="83"/>
        <v>522739</v>
      </c>
      <c r="AO76" s="322">
        <f t="shared" si="83"/>
        <v>668843.75</v>
      </c>
      <c r="AP76" s="322">
        <f t="shared" si="83"/>
        <v>0</v>
      </c>
      <c r="AQ76" s="323">
        <f t="shared" si="83"/>
        <v>110250</v>
      </c>
      <c r="AR76" s="311">
        <f>SUM(Tabla1[[#This Row],[COSTO OPERATIVO ACIDO]:[COSTO OPERATIVO CATIONICO]])</f>
        <v>1334202.75</v>
      </c>
      <c r="AS76" s="319">
        <v>3599</v>
      </c>
      <c r="AT76" s="314">
        <f t="shared" si="71"/>
        <v>3335.506875</v>
      </c>
      <c r="AU76" s="220">
        <f>IFERROR(Tabla1[[#This Row],[CAUDAL TOTAL TRATADO GEM ]]/Tabla1[[#This Row],[CAUDAL DE TRATAMIENTO]],0)</f>
        <v>5</v>
      </c>
    </row>
    <row r="77" spans="1:47" thickBot="1" x14ac:dyDescent="0.3">
      <c r="A77" s="116">
        <f t="shared" ref="A77" si="90">+A76+1</f>
        <v>46138</v>
      </c>
      <c r="B77" s="96">
        <v>26</v>
      </c>
      <c r="C77" s="211" t="s">
        <v>303</v>
      </c>
      <c r="D77" s="212">
        <v>76</v>
      </c>
      <c r="E77" s="212" t="s">
        <v>75</v>
      </c>
      <c r="F77" s="304">
        <v>3300</v>
      </c>
      <c r="G77" s="305">
        <v>5760</v>
      </c>
      <c r="H77" s="305">
        <v>2200</v>
      </c>
      <c r="I77" s="305">
        <f t="shared" ref="I77" si="91">+I76-0</f>
        <v>140</v>
      </c>
      <c r="J77" s="305">
        <f t="shared" ref="J77" si="92">+J76-5</f>
        <v>165</v>
      </c>
      <c r="K77" s="324">
        <v>17936</v>
      </c>
      <c r="L77" s="220">
        <f t="shared" si="70"/>
        <v>0</v>
      </c>
      <c r="M77" s="220">
        <v>80</v>
      </c>
      <c r="N77" s="298">
        <f t="shared" si="23"/>
        <v>0</v>
      </c>
      <c r="O77" s="327">
        <f t="shared" si="23"/>
        <v>0</v>
      </c>
      <c r="P77" s="298">
        <f t="shared" si="24"/>
        <v>0</v>
      </c>
      <c r="Q77" s="298">
        <f t="shared" si="24"/>
        <v>0</v>
      </c>
      <c r="R77" s="298">
        <f t="shared" si="24"/>
        <v>0</v>
      </c>
      <c r="S77" s="306">
        <f t="shared" si="75"/>
        <v>0</v>
      </c>
      <c r="T77" s="307">
        <f t="shared" si="76"/>
        <v>0</v>
      </c>
      <c r="U77" s="307">
        <f t="shared" si="77"/>
        <v>0</v>
      </c>
      <c r="V77" s="307">
        <f>Tabla1[[#This Row],[CONSUMO POL ANIONICO (KG)]]</f>
        <v>0</v>
      </c>
      <c r="W77" s="299">
        <f>Tabla1[[#This Row],[CONSUMO POL CATIONICO (KG)]]</f>
        <v>0</v>
      </c>
      <c r="X77" s="306" t="e">
        <f t="shared" si="78"/>
        <v>#DIV/0!</v>
      </c>
      <c r="Y77" s="307" t="e">
        <f t="shared" si="79"/>
        <v>#DIV/0!</v>
      </c>
      <c r="Z77" s="307" t="e">
        <f t="shared" si="80"/>
        <v>#DIV/0!</v>
      </c>
      <c r="AA77" s="307" t="e">
        <f t="shared" si="81"/>
        <v>#DIV/0!</v>
      </c>
      <c r="AB77" s="299" t="e">
        <f t="shared" si="82"/>
        <v>#DIV/0!</v>
      </c>
      <c r="AC77" s="308">
        <v>1.3</v>
      </c>
      <c r="AD77" s="308">
        <v>1.325</v>
      </c>
      <c r="AE77" s="308">
        <v>1.25</v>
      </c>
      <c r="AF77" s="309">
        <v>2500</v>
      </c>
      <c r="AG77" s="310">
        <v>2500</v>
      </c>
      <c r="AH77" s="97">
        <v>830</v>
      </c>
      <c r="AI77" s="97">
        <v>2818</v>
      </c>
      <c r="AJ77" s="97">
        <v>6295</v>
      </c>
      <c r="AK77" s="97">
        <v>19050</v>
      </c>
      <c r="AL77" s="97">
        <v>22050</v>
      </c>
      <c r="AM77" s="311">
        <f t="shared" si="83"/>
        <v>0</v>
      </c>
      <c r="AN77" s="312">
        <f t="shared" si="83"/>
        <v>0</v>
      </c>
      <c r="AO77" s="312">
        <f t="shared" si="83"/>
        <v>0</v>
      </c>
      <c r="AP77" s="312">
        <f t="shared" si="83"/>
        <v>0</v>
      </c>
      <c r="AQ77" s="313">
        <f t="shared" si="83"/>
        <v>0</v>
      </c>
      <c r="AR77" s="311">
        <f>SUM(Tabla1[[#This Row],[COSTO OPERATIVO ACIDO]:[COSTO OPERATIVO CATIONICO]])</f>
        <v>0</v>
      </c>
      <c r="AS77" s="311">
        <v>3599</v>
      </c>
      <c r="AT77" s="314" t="e">
        <f t="shared" si="71"/>
        <v>#DIV/0!</v>
      </c>
      <c r="AU77" s="220">
        <f>IFERROR(Tabla1[[#This Row],[CAUDAL TOTAL TRATADO GEM ]]/Tabla1[[#This Row],[CAUDAL DE TRATAMIENTO]],0)</f>
        <v>0</v>
      </c>
    </row>
    <row r="78" spans="1:47" ht="15.75" thickBot="1" x14ac:dyDescent="0.3">
      <c r="A78" s="431">
        <f t="shared" ref="A78:A79" si="93">+A77</f>
        <v>46138</v>
      </c>
      <c r="B78" s="96">
        <v>26</v>
      </c>
      <c r="C78" s="213" t="s">
        <v>304</v>
      </c>
      <c r="D78" s="214">
        <v>77</v>
      </c>
      <c r="E78" s="214" t="s">
        <v>77</v>
      </c>
      <c r="F78" s="315">
        <f>+AVERAGE(F77,F79)</f>
        <v>3300</v>
      </c>
      <c r="G78" s="316">
        <v>5760</v>
      </c>
      <c r="H78" s="316">
        <f>+AVERAGE(H77,H79)</f>
        <v>2200</v>
      </c>
      <c r="I78" s="316">
        <f t="shared" ref="I78" si="94">+I77-0</f>
        <v>140</v>
      </c>
      <c r="J78" s="316">
        <f>+J77-0</f>
        <v>165</v>
      </c>
      <c r="K78" s="325">
        <v>17936</v>
      </c>
      <c r="L78" s="219">
        <f t="shared" si="70"/>
        <v>320</v>
      </c>
      <c r="M78" s="219">
        <v>80</v>
      </c>
      <c r="N78" s="300">
        <f t="shared" si="23"/>
        <v>0</v>
      </c>
      <c r="O78" s="328">
        <f t="shared" si="23"/>
        <v>40</v>
      </c>
      <c r="P78" s="300">
        <f t="shared" si="24"/>
        <v>0</v>
      </c>
      <c r="Q78" s="300">
        <f t="shared" si="24"/>
        <v>5</v>
      </c>
      <c r="R78" s="298">
        <f t="shared" si="24"/>
        <v>5</v>
      </c>
      <c r="S78" s="306">
        <f t="shared" si="75"/>
        <v>0</v>
      </c>
      <c r="T78" s="307">
        <f t="shared" si="76"/>
        <v>53</v>
      </c>
      <c r="U78" s="307">
        <f t="shared" si="77"/>
        <v>0</v>
      </c>
      <c r="V78" s="317">
        <f>Tabla1[[#This Row],[CONSUMO POL ANIONICO (KG)]]</f>
        <v>5</v>
      </c>
      <c r="W78" s="301">
        <f>Tabla1[[#This Row],[CONSUMO POL CATIONICO (KG)]]</f>
        <v>5</v>
      </c>
      <c r="X78" s="318">
        <f t="shared" si="78"/>
        <v>0</v>
      </c>
      <c r="Y78" s="317">
        <f t="shared" si="79"/>
        <v>165.625</v>
      </c>
      <c r="Z78" s="317">
        <f t="shared" si="80"/>
        <v>0</v>
      </c>
      <c r="AA78" s="317">
        <f t="shared" si="81"/>
        <v>15.625</v>
      </c>
      <c r="AB78" s="301">
        <f t="shared" si="82"/>
        <v>15.625</v>
      </c>
      <c r="AC78" s="308">
        <v>1.3</v>
      </c>
      <c r="AD78" s="308">
        <v>1.325</v>
      </c>
      <c r="AE78" s="308">
        <v>1.25</v>
      </c>
      <c r="AF78" s="309">
        <v>2500</v>
      </c>
      <c r="AG78" s="310">
        <v>2500</v>
      </c>
      <c r="AH78" s="97">
        <v>830</v>
      </c>
      <c r="AI78" s="97">
        <v>2818</v>
      </c>
      <c r="AJ78" s="97">
        <v>6295</v>
      </c>
      <c r="AK78" s="97">
        <v>19050</v>
      </c>
      <c r="AL78" s="97">
        <v>22050</v>
      </c>
      <c r="AM78" s="319">
        <f t="shared" si="83"/>
        <v>0</v>
      </c>
      <c r="AN78" s="314">
        <f t="shared" si="83"/>
        <v>149354</v>
      </c>
      <c r="AO78" s="314">
        <f t="shared" si="83"/>
        <v>0</v>
      </c>
      <c r="AP78" s="314">
        <f t="shared" si="83"/>
        <v>95250</v>
      </c>
      <c r="AQ78" s="320">
        <f t="shared" si="83"/>
        <v>110250</v>
      </c>
      <c r="AR78" s="311">
        <f>SUM(Tabla1[[#This Row],[COSTO OPERATIVO ACIDO]:[COSTO OPERATIVO CATIONICO]])</f>
        <v>354854</v>
      </c>
      <c r="AS78" s="319">
        <v>3599</v>
      </c>
      <c r="AT78" s="314">
        <f t="shared" si="71"/>
        <v>1108.91875</v>
      </c>
      <c r="AU78" s="220">
        <f>IFERROR(Tabla1[[#This Row],[CAUDAL TOTAL TRATADO GEM ]]/Tabla1[[#This Row],[CAUDAL DE TRATAMIENTO]],0)</f>
        <v>4</v>
      </c>
    </row>
    <row r="79" spans="1:47" thickBot="1" x14ac:dyDescent="0.3">
      <c r="A79" s="432">
        <f t="shared" si="93"/>
        <v>46138</v>
      </c>
      <c r="B79" s="96">
        <v>26</v>
      </c>
      <c r="C79" s="215" t="s">
        <v>30</v>
      </c>
      <c r="D79" s="216">
        <v>78</v>
      </c>
      <c r="E79" s="216" t="s">
        <v>76</v>
      </c>
      <c r="F79" s="315">
        <v>3300</v>
      </c>
      <c r="G79" s="316">
        <v>5720</v>
      </c>
      <c r="H79" s="316">
        <v>2200</v>
      </c>
      <c r="I79" s="316">
        <f t="shared" ref="I79" si="95">+I78-5</f>
        <v>135</v>
      </c>
      <c r="J79" s="316">
        <f>+J78-5</f>
        <v>160</v>
      </c>
      <c r="K79" s="326">
        <v>17940</v>
      </c>
      <c r="L79" s="221">
        <f t="shared" si="70"/>
        <v>480</v>
      </c>
      <c r="M79" s="221">
        <v>80</v>
      </c>
      <c r="N79" s="663">
        <f>F79-F80-70</f>
        <v>230</v>
      </c>
      <c r="O79" s="329">
        <f t="shared" si="23"/>
        <v>60</v>
      </c>
      <c r="P79" s="302">
        <f t="shared" si="24"/>
        <v>30</v>
      </c>
      <c r="Q79" s="302">
        <f t="shared" si="24"/>
        <v>0</v>
      </c>
      <c r="R79" s="298">
        <f t="shared" si="24"/>
        <v>5</v>
      </c>
      <c r="S79" s="306">
        <f t="shared" si="75"/>
        <v>299</v>
      </c>
      <c r="T79" s="307">
        <f t="shared" si="76"/>
        <v>79.5</v>
      </c>
      <c r="U79" s="307">
        <f t="shared" si="77"/>
        <v>37.5</v>
      </c>
      <c r="V79" s="321">
        <f>Tabla1[[#This Row],[CONSUMO POL ANIONICO (KG)]]</f>
        <v>0</v>
      </c>
      <c r="W79" s="303">
        <f>Tabla1[[#This Row],[CONSUMO POL CATIONICO (KG)]]</f>
        <v>5</v>
      </c>
      <c r="X79" s="318">
        <f t="shared" si="78"/>
        <v>622.91666666666663</v>
      </c>
      <c r="Y79" s="321">
        <f t="shared" si="79"/>
        <v>165.625</v>
      </c>
      <c r="Z79" s="321">
        <f t="shared" si="80"/>
        <v>78.125</v>
      </c>
      <c r="AA79" s="321">
        <f t="shared" si="81"/>
        <v>0</v>
      </c>
      <c r="AB79" s="303">
        <f t="shared" si="82"/>
        <v>10.416666666666666</v>
      </c>
      <c r="AC79" s="308">
        <v>1.3</v>
      </c>
      <c r="AD79" s="308">
        <v>1.325</v>
      </c>
      <c r="AE79" s="308">
        <v>1.25</v>
      </c>
      <c r="AF79" s="309">
        <v>2500</v>
      </c>
      <c r="AG79" s="310">
        <v>2500</v>
      </c>
      <c r="AH79" s="97">
        <v>830</v>
      </c>
      <c r="AI79" s="97">
        <v>2818</v>
      </c>
      <c r="AJ79" s="97">
        <v>6295</v>
      </c>
      <c r="AK79" s="97">
        <v>19050</v>
      </c>
      <c r="AL79" s="97">
        <v>22050</v>
      </c>
      <c r="AM79" s="319">
        <f t="shared" si="83"/>
        <v>248170</v>
      </c>
      <c r="AN79" s="322">
        <f t="shared" si="83"/>
        <v>224031</v>
      </c>
      <c r="AO79" s="322">
        <f t="shared" si="83"/>
        <v>236062.5</v>
      </c>
      <c r="AP79" s="322">
        <f t="shared" si="83"/>
        <v>0</v>
      </c>
      <c r="AQ79" s="323">
        <f t="shared" si="83"/>
        <v>110250</v>
      </c>
      <c r="AR79" s="311">
        <f>SUM(Tabla1[[#This Row],[COSTO OPERATIVO ACIDO]:[COSTO OPERATIVO CATIONICO]])</f>
        <v>818513.5</v>
      </c>
      <c r="AS79" s="319">
        <v>3599</v>
      </c>
      <c r="AT79" s="314">
        <f t="shared" si="71"/>
        <v>1705.2364583333333</v>
      </c>
      <c r="AU79" s="220">
        <f>IFERROR(Tabla1[[#This Row],[CAUDAL TOTAL TRATADO GEM ]]/Tabla1[[#This Row],[CAUDAL DE TRATAMIENTO]],0)</f>
        <v>6</v>
      </c>
    </row>
    <row r="80" spans="1:47" thickBot="1" x14ac:dyDescent="0.3">
      <c r="A80" s="116">
        <f t="shared" ref="A80" si="96">+A79+1</f>
        <v>46139</v>
      </c>
      <c r="B80" s="96">
        <v>27</v>
      </c>
      <c r="C80" s="211" t="s">
        <v>305</v>
      </c>
      <c r="D80" s="212">
        <v>79</v>
      </c>
      <c r="E80" s="212" t="s">
        <v>75</v>
      </c>
      <c r="F80" s="304">
        <v>3000</v>
      </c>
      <c r="G80" s="305">
        <v>5660</v>
      </c>
      <c r="H80" s="305">
        <v>2170</v>
      </c>
      <c r="I80" s="305">
        <f t="shared" ref="I80" si="97">+I79-0</f>
        <v>135</v>
      </c>
      <c r="J80" s="305">
        <f t="shared" ref="J80" si="98">+J79-5</f>
        <v>155</v>
      </c>
      <c r="K80" s="324">
        <v>17946</v>
      </c>
      <c r="L80" s="220">
        <f t="shared" si="70"/>
        <v>640</v>
      </c>
      <c r="M80" s="220">
        <v>80</v>
      </c>
      <c r="N80" s="298">
        <f t="shared" si="23"/>
        <v>200</v>
      </c>
      <c r="O80" s="661">
        <f>G80-G81-120</f>
        <v>220</v>
      </c>
      <c r="P80" s="298">
        <f t="shared" si="24"/>
        <v>90</v>
      </c>
      <c r="Q80" s="298">
        <f t="shared" si="24"/>
        <v>5</v>
      </c>
      <c r="R80" s="298">
        <f t="shared" si="24"/>
        <v>5</v>
      </c>
      <c r="S80" s="306">
        <f t="shared" si="75"/>
        <v>260</v>
      </c>
      <c r="T80" s="307">
        <f t="shared" si="76"/>
        <v>291.5</v>
      </c>
      <c r="U80" s="307">
        <f t="shared" si="77"/>
        <v>112.5</v>
      </c>
      <c r="V80" s="307">
        <f>Tabla1[[#This Row],[CONSUMO POL ANIONICO (KG)]]</f>
        <v>5</v>
      </c>
      <c r="W80" s="299">
        <f>Tabla1[[#This Row],[CONSUMO POL CATIONICO (KG)]]</f>
        <v>5</v>
      </c>
      <c r="X80" s="306">
        <f t="shared" si="78"/>
        <v>406.25</v>
      </c>
      <c r="Y80" s="307">
        <f t="shared" si="79"/>
        <v>455.46875</v>
      </c>
      <c r="Z80" s="307">
        <f t="shared" si="80"/>
        <v>175.78125</v>
      </c>
      <c r="AA80" s="307">
        <f t="shared" si="81"/>
        <v>7.8125</v>
      </c>
      <c r="AB80" s="299">
        <f t="shared" si="82"/>
        <v>7.8125</v>
      </c>
      <c r="AC80" s="308">
        <v>1.3</v>
      </c>
      <c r="AD80" s="308">
        <v>1.325</v>
      </c>
      <c r="AE80" s="308">
        <v>1.25</v>
      </c>
      <c r="AF80" s="309">
        <v>2500</v>
      </c>
      <c r="AG80" s="310">
        <v>2500</v>
      </c>
      <c r="AH80" s="97">
        <v>830</v>
      </c>
      <c r="AI80" s="97">
        <v>2818</v>
      </c>
      <c r="AJ80" s="97">
        <v>6295</v>
      </c>
      <c r="AK80" s="97">
        <v>19050</v>
      </c>
      <c r="AL80" s="97">
        <v>22050</v>
      </c>
      <c r="AM80" s="311">
        <f t="shared" si="83"/>
        <v>215800</v>
      </c>
      <c r="AN80" s="312">
        <f t="shared" si="83"/>
        <v>821447</v>
      </c>
      <c r="AO80" s="312">
        <f t="shared" si="83"/>
        <v>708187.5</v>
      </c>
      <c r="AP80" s="312">
        <f t="shared" si="83"/>
        <v>95250</v>
      </c>
      <c r="AQ80" s="313">
        <f t="shared" si="83"/>
        <v>110250</v>
      </c>
      <c r="AR80" s="311">
        <f>SUM(Tabla1[[#This Row],[COSTO OPERATIVO ACIDO]:[COSTO OPERATIVO CATIONICO]])</f>
        <v>1950934.5</v>
      </c>
      <c r="AS80" s="311">
        <v>3599</v>
      </c>
      <c r="AT80" s="314">
        <f t="shared" si="71"/>
        <v>3048.3351562500002</v>
      </c>
      <c r="AU80" s="220">
        <f>IFERROR(Tabla1[[#This Row],[CAUDAL TOTAL TRATADO GEM ]]/Tabla1[[#This Row],[CAUDAL DE TRATAMIENTO]],0)</f>
        <v>8</v>
      </c>
    </row>
    <row r="81" spans="1:47" ht="15.75" thickBot="1" x14ac:dyDescent="0.3">
      <c r="A81" s="431">
        <f t="shared" ref="A81:A82" si="99">+A80</f>
        <v>46139</v>
      </c>
      <c r="B81" s="96">
        <v>27</v>
      </c>
      <c r="C81" s="213" t="s">
        <v>306</v>
      </c>
      <c r="D81" s="214">
        <v>80</v>
      </c>
      <c r="E81" s="214" t="s">
        <v>77</v>
      </c>
      <c r="F81" s="315">
        <v>2800</v>
      </c>
      <c r="G81" s="316">
        <v>5320</v>
      </c>
      <c r="H81" s="316">
        <v>2080</v>
      </c>
      <c r="I81" s="316">
        <f>+I80-5</f>
        <v>130</v>
      </c>
      <c r="J81" s="316">
        <f>+J80-5</f>
        <v>150</v>
      </c>
      <c r="K81" s="325">
        <v>17954</v>
      </c>
      <c r="L81" s="219">
        <f t="shared" si="70"/>
        <v>400</v>
      </c>
      <c r="M81" s="219">
        <v>80</v>
      </c>
      <c r="N81" s="300">
        <f t="shared" si="23"/>
        <v>120</v>
      </c>
      <c r="O81" s="330">
        <f>G81-G82-150</f>
        <v>120</v>
      </c>
      <c r="P81" s="300">
        <f t="shared" si="24"/>
        <v>10</v>
      </c>
      <c r="Q81" s="300">
        <f t="shared" si="24"/>
        <v>5</v>
      </c>
      <c r="R81" s="298">
        <f t="shared" si="24"/>
        <v>5</v>
      </c>
      <c r="S81" s="306">
        <f t="shared" si="75"/>
        <v>156</v>
      </c>
      <c r="T81" s="307">
        <f t="shared" si="76"/>
        <v>159</v>
      </c>
      <c r="U81" s="307">
        <f t="shared" si="77"/>
        <v>12.5</v>
      </c>
      <c r="V81" s="317">
        <f>Tabla1[[#This Row],[CONSUMO POL ANIONICO (KG)]]</f>
        <v>5</v>
      </c>
      <c r="W81" s="301">
        <f>Tabla1[[#This Row],[CONSUMO POL CATIONICO (KG)]]</f>
        <v>5</v>
      </c>
      <c r="X81" s="318">
        <f t="shared" si="78"/>
        <v>390</v>
      </c>
      <c r="Y81" s="317">
        <f t="shared" si="79"/>
        <v>397.5</v>
      </c>
      <c r="Z81" s="317">
        <f t="shared" si="80"/>
        <v>31.25</v>
      </c>
      <c r="AA81" s="317">
        <f t="shared" si="81"/>
        <v>12.5</v>
      </c>
      <c r="AB81" s="301">
        <f t="shared" si="82"/>
        <v>12.5</v>
      </c>
      <c r="AC81" s="308">
        <v>1.3</v>
      </c>
      <c r="AD81" s="308">
        <v>1.325</v>
      </c>
      <c r="AE81" s="308">
        <v>1.25</v>
      </c>
      <c r="AF81" s="309">
        <v>2500</v>
      </c>
      <c r="AG81" s="310">
        <v>2500</v>
      </c>
      <c r="AH81" s="97">
        <v>830</v>
      </c>
      <c r="AI81" s="97">
        <v>2818</v>
      </c>
      <c r="AJ81" s="97">
        <v>6295</v>
      </c>
      <c r="AK81" s="97">
        <v>19050</v>
      </c>
      <c r="AL81" s="97">
        <v>22050</v>
      </c>
      <c r="AM81" s="319">
        <f t="shared" si="83"/>
        <v>129480</v>
      </c>
      <c r="AN81" s="314">
        <f t="shared" si="83"/>
        <v>448062</v>
      </c>
      <c r="AO81" s="314">
        <f t="shared" si="83"/>
        <v>78687.5</v>
      </c>
      <c r="AP81" s="314">
        <f t="shared" si="83"/>
        <v>95250</v>
      </c>
      <c r="AQ81" s="320">
        <f t="shared" si="83"/>
        <v>110250</v>
      </c>
      <c r="AR81" s="311">
        <f>SUM(Tabla1[[#This Row],[COSTO OPERATIVO ACIDO]:[COSTO OPERATIVO CATIONICO]])</f>
        <v>861729.5</v>
      </c>
      <c r="AS81" s="319">
        <v>3599</v>
      </c>
      <c r="AT81" s="314">
        <f t="shared" si="71"/>
        <v>2154.32375</v>
      </c>
      <c r="AU81" s="220">
        <f>IFERROR(Tabla1[[#This Row],[CAUDAL TOTAL TRATADO GEM ]]/Tabla1[[#This Row],[CAUDAL DE TRATAMIENTO]],0)</f>
        <v>5</v>
      </c>
    </row>
    <row r="82" spans="1:47" thickBot="1" x14ac:dyDescent="0.3">
      <c r="A82" s="432">
        <f t="shared" si="99"/>
        <v>46139</v>
      </c>
      <c r="B82" s="96">
        <v>27</v>
      </c>
      <c r="C82" s="215" t="s">
        <v>30</v>
      </c>
      <c r="D82" s="216">
        <v>81</v>
      </c>
      <c r="E82" s="216" t="s">
        <v>76</v>
      </c>
      <c r="F82" s="315">
        <v>2680</v>
      </c>
      <c r="G82" s="316">
        <v>5050</v>
      </c>
      <c r="H82" s="316">
        <v>2070</v>
      </c>
      <c r="I82" s="316">
        <f t="shared" ref="I82" si="100">+I81-5</f>
        <v>125</v>
      </c>
      <c r="J82" s="316">
        <f>+J81-5</f>
        <v>145</v>
      </c>
      <c r="K82" s="326">
        <v>17959</v>
      </c>
      <c r="L82" s="221">
        <f t="shared" si="70"/>
        <v>480</v>
      </c>
      <c r="M82" s="221">
        <v>80</v>
      </c>
      <c r="N82" s="302">
        <f t="shared" ref="N82:R94" si="101">F82-F83</f>
        <v>160</v>
      </c>
      <c r="O82" s="329">
        <f t="shared" si="101"/>
        <v>100</v>
      </c>
      <c r="P82" s="302">
        <f t="shared" si="101"/>
        <v>40</v>
      </c>
      <c r="Q82" s="302">
        <f t="shared" si="101"/>
        <v>5</v>
      </c>
      <c r="R82" s="298">
        <f t="shared" si="101"/>
        <v>10</v>
      </c>
      <c r="S82" s="306">
        <f t="shared" si="75"/>
        <v>208</v>
      </c>
      <c r="T82" s="307">
        <f t="shared" si="76"/>
        <v>132.5</v>
      </c>
      <c r="U82" s="307">
        <f t="shared" si="77"/>
        <v>50</v>
      </c>
      <c r="V82" s="321">
        <f>Tabla1[[#This Row],[CONSUMO POL ANIONICO (KG)]]</f>
        <v>5</v>
      </c>
      <c r="W82" s="303">
        <f>Tabla1[[#This Row],[CONSUMO POL CATIONICO (KG)]]</f>
        <v>10</v>
      </c>
      <c r="X82" s="318">
        <f t="shared" si="78"/>
        <v>433.33333333333331</v>
      </c>
      <c r="Y82" s="321">
        <f t="shared" si="79"/>
        <v>276.04166666666669</v>
      </c>
      <c r="Z82" s="321">
        <f t="shared" si="80"/>
        <v>104.16666666666667</v>
      </c>
      <c r="AA82" s="321">
        <f t="shared" si="81"/>
        <v>10.416666666666666</v>
      </c>
      <c r="AB82" s="303">
        <f t="shared" si="82"/>
        <v>20.833333333333332</v>
      </c>
      <c r="AC82" s="308">
        <v>1.3</v>
      </c>
      <c r="AD82" s="308">
        <v>1.325</v>
      </c>
      <c r="AE82" s="308">
        <v>1.25</v>
      </c>
      <c r="AF82" s="309">
        <v>2500</v>
      </c>
      <c r="AG82" s="310">
        <v>2500</v>
      </c>
      <c r="AH82" s="97">
        <v>830</v>
      </c>
      <c r="AI82" s="97">
        <v>2818</v>
      </c>
      <c r="AJ82" s="97">
        <v>6295</v>
      </c>
      <c r="AK82" s="97">
        <v>19050</v>
      </c>
      <c r="AL82" s="97">
        <v>22050</v>
      </c>
      <c r="AM82" s="319">
        <f t="shared" si="83"/>
        <v>172640</v>
      </c>
      <c r="AN82" s="322">
        <f t="shared" si="83"/>
        <v>373385</v>
      </c>
      <c r="AO82" s="322">
        <f t="shared" si="83"/>
        <v>314750</v>
      </c>
      <c r="AP82" s="322">
        <f t="shared" si="83"/>
        <v>95250</v>
      </c>
      <c r="AQ82" s="323">
        <f t="shared" si="83"/>
        <v>220500</v>
      </c>
      <c r="AR82" s="311">
        <f>SUM(Tabla1[[#This Row],[COSTO OPERATIVO ACIDO]:[COSTO OPERATIVO CATIONICO]])</f>
        <v>1176525</v>
      </c>
      <c r="AS82" s="319">
        <v>3599</v>
      </c>
      <c r="AT82" s="314">
        <f t="shared" si="71"/>
        <v>2451.09375</v>
      </c>
      <c r="AU82" s="220">
        <f>IFERROR(Tabla1[[#This Row],[CAUDAL TOTAL TRATADO GEM ]]/Tabla1[[#This Row],[CAUDAL DE TRATAMIENTO]],0)</f>
        <v>6</v>
      </c>
    </row>
    <row r="83" spans="1:47" ht="14.25" customHeight="1" thickBot="1" x14ac:dyDescent="0.3">
      <c r="A83" s="116">
        <f t="shared" ref="A83" si="102">+A82+1</f>
        <v>46140</v>
      </c>
      <c r="B83" s="96">
        <v>28</v>
      </c>
      <c r="C83" s="211" t="s">
        <v>307</v>
      </c>
      <c r="D83" s="212">
        <v>82</v>
      </c>
      <c r="E83" s="212" t="s">
        <v>75</v>
      </c>
      <c r="F83" s="304">
        <v>2520</v>
      </c>
      <c r="G83" s="305">
        <v>4950</v>
      </c>
      <c r="H83" s="305">
        <v>2030</v>
      </c>
      <c r="I83" s="305">
        <f>+I82-5</f>
        <v>120</v>
      </c>
      <c r="J83" s="305">
        <f>+J82-10</f>
        <v>135</v>
      </c>
      <c r="K83" s="324">
        <v>17965</v>
      </c>
      <c r="L83" s="220">
        <f t="shared" si="70"/>
        <v>640</v>
      </c>
      <c r="M83" s="220">
        <v>80</v>
      </c>
      <c r="N83" s="298">
        <f t="shared" si="101"/>
        <v>195</v>
      </c>
      <c r="O83" s="327">
        <f t="shared" si="101"/>
        <v>210</v>
      </c>
      <c r="P83" s="298">
        <f t="shared" si="101"/>
        <v>50</v>
      </c>
      <c r="Q83" s="298">
        <f t="shared" si="101"/>
        <v>0</v>
      </c>
      <c r="R83" s="298">
        <f t="shared" si="101"/>
        <v>0</v>
      </c>
      <c r="S83" s="306">
        <f t="shared" si="75"/>
        <v>253.5</v>
      </c>
      <c r="T83" s="307">
        <f t="shared" si="76"/>
        <v>278.25</v>
      </c>
      <c r="U83" s="307">
        <f t="shared" si="77"/>
        <v>62.5</v>
      </c>
      <c r="V83" s="307">
        <f>Tabla1[[#This Row],[CONSUMO POL ANIONICO (KG)]]</f>
        <v>0</v>
      </c>
      <c r="W83" s="299">
        <f>Tabla1[[#This Row],[CONSUMO POL CATIONICO (KG)]]</f>
        <v>0</v>
      </c>
      <c r="X83" s="306">
        <f t="shared" si="78"/>
        <v>396.09375</v>
      </c>
      <c r="Y83" s="307">
        <f t="shared" si="79"/>
        <v>434.765625</v>
      </c>
      <c r="Z83" s="307">
        <f t="shared" si="80"/>
        <v>97.65625</v>
      </c>
      <c r="AA83" s="307">
        <f t="shared" si="81"/>
        <v>0</v>
      </c>
      <c r="AB83" s="299">
        <f t="shared" si="82"/>
        <v>0</v>
      </c>
      <c r="AC83" s="308">
        <v>1.3</v>
      </c>
      <c r="AD83" s="308">
        <v>1.325</v>
      </c>
      <c r="AE83" s="308">
        <v>1.25</v>
      </c>
      <c r="AF83" s="309">
        <v>2500</v>
      </c>
      <c r="AG83" s="310">
        <v>2500</v>
      </c>
      <c r="AH83" s="97">
        <v>830</v>
      </c>
      <c r="AI83" s="97">
        <v>2818</v>
      </c>
      <c r="AJ83" s="97">
        <v>6295</v>
      </c>
      <c r="AK83" s="97">
        <v>19050</v>
      </c>
      <c r="AL83" s="97">
        <v>22050</v>
      </c>
      <c r="AM83" s="311">
        <f t="shared" si="83"/>
        <v>210405</v>
      </c>
      <c r="AN83" s="312">
        <f t="shared" si="83"/>
        <v>784108.5</v>
      </c>
      <c r="AO83" s="312">
        <f t="shared" si="83"/>
        <v>393437.5</v>
      </c>
      <c r="AP83" s="312">
        <f t="shared" si="83"/>
        <v>0</v>
      </c>
      <c r="AQ83" s="313">
        <f t="shared" si="83"/>
        <v>0</v>
      </c>
      <c r="AR83" s="311">
        <f>SUM(Tabla1[[#This Row],[COSTO OPERATIVO ACIDO]:[COSTO OPERATIVO CATIONICO]])</f>
        <v>1387951</v>
      </c>
      <c r="AS83" s="311">
        <v>3599</v>
      </c>
      <c r="AT83" s="314">
        <f t="shared" si="71"/>
        <v>2168.6734375000001</v>
      </c>
      <c r="AU83" s="220">
        <f>IFERROR(Tabla1[[#This Row],[CAUDAL TOTAL TRATADO GEM ]]/Tabla1[[#This Row],[CAUDAL DE TRATAMIENTO]],0)</f>
        <v>8</v>
      </c>
    </row>
    <row r="84" spans="1:47" s="233" customFormat="1" ht="15.75" thickBot="1" x14ac:dyDescent="0.3">
      <c r="A84" s="431">
        <f t="shared" ref="A84:A85" si="103">+A83</f>
        <v>46140</v>
      </c>
      <c r="B84" s="230">
        <v>28</v>
      </c>
      <c r="C84" s="234" t="s">
        <v>308</v>
      </c>
      <c r="D84" s="235">
        <v>83</v>
      </c>
      <c r="E84" s="235" t="s">
        <v>77</v>
      </c>
      <c r="F84" s="315">
        <f>+AVERAGE(F83,F85)</f>
        <v>2325</v>
      </c>
      <c r="G84" s="316">
        <f>+AVERAGE(G83,G85)</f>
        <v>4740</v>
      </c>
      <c r="H84" s="316">
        <f>+AVERAGE(H83,H85)</f>
        <v>1980</v>
      </c>
      <c r="I84" s="316">
        <f>+I83-0</f>
        <v>120</v>
      </c>
      <c r="J84" s="316">
        <f>+J83-0</f>
        <v>135</v>
      </c>
      <c r="K84" s="325">
        <v>17973</v>
      </c>
      <c r="L84" s="219">
        <f t="shared" si="70"/>
        <v>480</v>
      </c>
      <c r="M84" s="219">
        <v>80</v>
      </c>
      <c r="N84" s="300">
        <f t="shared" si="101"/>
        <v>195</v>
      </c>
      <c r="O84" s="328">
        <f t="shared" si="101"/>
        <v>210</v>
      </c>
      <c r="P84" s="300">
        <f t="shared" si="101"/>
        <v>50</v>
      </c>
      <c r="Q84" s="300">
        <f t="shared" si="101"/>
        <v>5</v>
      </c>
      <c r="R84" s="298">
        <f t="shared" si="101"/>
        <v>5</v>
      </c>
      <c r="S84" s="306">
        <f t="shared" si="75"/>
        <v>253.5</v>
      </c>
      <c r="T84" s="307">
        <f t="shared" si="76"/>
        <v>278.25</v>
      </c>
      <c r="U84" s="307">
        <f t="shared" si="77"/>
        <v>62.5</v>
      </c>
      <c r="V84" s="317">
        <f>Tabla1[[#This Row],[CONSUMO POL ANIONICO (KG)]]</f>
        <v>5</v>
      </c>
      <c r="W84" s="301">
        <f>Tabla1[[#This Row],[CONSUMO POL CATIONICO (KG)]]</f>
        <v>5</v>
      </c>
      <c r="X84" s="318">
        <f t="shared" si="78"/>
        <v>528.125</v>
      </c>
      <c r="Y84" s="317">
        <f t="shared" si="79"/>
        <v>579.6875</v>
      </c>
      <c r="Z84" s="317">
        <f t="shared" si="80"/>
        <v>130.20833333333334</v>
      </c>
      <c r="AA84" s="317">
        <f t="shared" si="81"/>
        <v>10.416666666666666</v>
      </c>
      <c r="AB84" s="301">
        <f t="shared" si="82"/>
        <v>10.416666666666666</v>
      </c>
      <c r="AC84" s="308">
        <v>1.3</v>
      </c>
      <c r="AD84" s="308">
        <v>1.325</v>
      </c>
      <c r="AE84" s="308">
        <v>1.25</v>
      </c>
      <c r="AF84" s="309">
        <v>2500</v>
      </c>
      <c r="AG84" s="310">
        <v>2500</v>
      </c>
      <c r="AH84" s="97">
        <v>830</v>
      </c>
      <c r="AI84" s="97">
        <v>2818</v>
      </c>
      <c r="AJ84" s="97">
        <v>6295</v>
      </c>
      <c r="AK84" s="97">
        <v>19050</v>
      </c>
      <c r="AL84" s="97">
        <v>22050</v>
      </c>
      <c r="AM84" s="319">
        <f t="shared" si="83"/>
        <v>210405</v>
      </c>
      <c r="AN84" s="314">
        <f t="shared" si="83"/>
        <v>784108.5</v>
      </c>
      <c r="AO84" s="314">
        <f t="shared" si="83"/>
        <v>393437.5</v>
      </c>
      <c r="AP84" s="314">
        <f t="shared" si="83"/>
        <v>95250</v>
      </c>
      <c r="AQ84" s="320">
        <f t="shared" si="83"/>
        <v>110250</v>
      </c>
      <c r="AR84" s="311">
        <f>SUM(Tabla1[[#This Row],[COSTO OPERATIVO ACIDO]:[COSTO OPERATIVO CATIONICO]])</f>
        <v>1593451</v>
      </c>
      <c r="AS84" s="319">
        <v>3599</v>
      </c>
      <c r="AT84" s="314">
        <f t="shared" si="71"/>
        <v>3319.6895833333333</v>
      </c>
      <c r="AU84" s="220">
        <f>IFERROR(Tabla1[[#This Row],[CAUDAL TOTAL TRATADO GEM ]]/Tabla1[[#This Row],[CAUDAL DE TRATAMIENTO]],0)</f>
        <v>6</v>
      </c>
    </row>
    <row r="85" spans="1:47" s="233" customFormat="1" thickBot="1" x14ac:dyDescent="0.3">
      <c r="A85" s="432">
        <f t="shared" si="103"/>
        <v>46140</v>
      </c>
      <c r="B85" s="230">
        <v>28</v>
      </c>
      <c r="C85" s="236" t="s">
        <v>30</v>
      </c>
      <c r="D85" s="237">
        <v>84</v>
      </c>
      <c r="E85" s="237" t="s">
        <v>76</v>
      </c>
      <c r="F85" s="315">
        <v>2130</v>
      </c>
      <c r="G85" s="316">
        <v>4530</v>
      </c>
      <c r="H85" s="316">
        <v>1930</v>
      </c>
      <c r="I85" s="316">
        <f t="shared" ref="I85:J87" si="104">+I84-5</f>
        <v>115</v>
      </c>
      <c r="J85" s="316">
        <f t="shared" si="104"/>
        <v>130</v>
      </c>
      <c r="K85" s="326">
        <v>17979</v>
      </c>
      <c r="L85" s="221">
        <f t="shared" si="70"/>
        <v>480</v>
      </c>
      <c r="M85" s="221">
        <v>80</v>
      </c>
      <c r="N85" s="302">
        <f t="shared" si="101"/>
        <v>130</v>
      </c>
      <c r="O85" s="329">
        <f t="shared" si="101"/>
        <v>190</v>
      </c>
      <c r="P85" s="302">
        <f t="shared" si="101"/>
        <v>80</v>
      </c>
      <c r="Q85" s="302">
        <f t="shared" si="101"/>
        <v>5</v>
      </c>
      <c r="R85" s="298">
        <f t="shared" si="101"/>
        <v>5</v>
      </c>
      <c r="S85" s="306">
        <f t="shared" si="75"/>
        <v>169</v>
      </c>
      <c r="T85" s="307">
        <f t="shared" si="76"/>
        <v>251.75</v>
      </c>
      <c r="U85" s="307">
        <f t="shared" si="77"/>
        <v>100</v>
      </c>
      <c r="V85" s="321">
        <f>Tabla1[[#This Row],[CONSUMO POL ANIONICO (KG)]]</f>
        <v>5</v>
      </c>
      <c r="W85" s="303">
        <f>Tabla1[[#This Row],[CONSUMO POL CATIONICO (KG)]]</f>
        <v>5</v>
      </c>
      <c r="X85" s="318">
        <f t="shared" si="78"/>
        <v>352.08333333333331</v>
      </c>
      <c r="Y85" s="321">
        <f t="shared" si="79"/>
        <v>524.47916666666663</v>
      </c>
      <c r="Z85" s="321">
        <f t="shared" si="80"/>
        <v>208.33333333333334</v>
      </c>
      <c r="AA85" s="321">
        <f t="shared" si="81"/>
        <v>10.416666666666666</v>
      </c>
      <c r="AB85" s="303">
        <f t="shared" si="82"/>
        <v>10.416666666666666</v>
      </c>
      <c r="AC85" s="308">
        <v>1.3</v>
      </c>
      <c r="AD85" s="308">
        <v>1.325</v>
      </c>
      <c r="AE85" s="308">
        <v>1.25</v>
      </c>
      <c r="AF85" s="309">
        <v>2500</v>
      </c>
      <c r="AG85" s="310">
        <v>2500</v>
      </c>
      <c r="AH85" s="97">
        <v>830</v>
      </c>
      <c r="AI85" s="97">
        <v>2818</v>
      </c>
      <c r="AJ85" s="97">
        <v>6295</v>
      </c>
      <c r="AK85" s="97">
        <v>19050</v>
      </c>
      <c r="AL85" s="97">
        <v>22050</v>
      </c>
      <c r="AM85" s="319">
        <f t="shared" si="83"/>
        <v>140270</v>
      </c>
      <c r="AN85" s="322">
        <f t="shared" si="83"/>
        <v>709431.5</v>
      </c>
      <c r="AO85" s="322">
        <f t="shared" si="83"/>
        <v>629500</v>
      </c>
      <c r="AP85" s="322">
        <f t="shared" si="83"/>
        <v>95250</v>
      </c>
      <c r="AQ85" s="323">
        <f t="shared" si="83"/>
        <v>110250</v>
      </c>
      <c r="AR85" s="311">
        <f>SUM(Tabla1[[#This Row],[COSTO OPERATIVO ACIDO]:[COSTO OPERATIVO CATIONICO]])</f>
        <v>1684701.5</v>
      </c>
      <c r="AS85" s="319">
        <v>3599</v>
      </c>
      <c r="AT85" s="314">
        <f t="shared" si="71"/>
        <v>3509.7947916666667</v>
      </c>
      <c r="AU85" s="220">
        <f>IFERROR(Tabla1[[#This Row],[CAUDAL TOTAL TRATADO GEM ]]/Tabla1[[#This Row],[CAUDAL DE TRATAMIENTO]],0)</f>
        <v>6</v>
      </c>
    </row>
    <row r="86" spans="1:47" thickBot="1" x14ac:dyDescent="0.3">
      <c r="A86" s="116">
        <f t="shared" ref="A86" si="105">+A85+1</f>
        <v>46141</v>
      </c>
      <c r="B86" s="96">
        <v>29</v>
      </c>
      <c r="C86" s="211" t="s">
        <v>309</v>
      </c>
      <c r="D86" s="212">
        <v>85</v>
      </c>
      <c r="E86" s="212" t="s">
        <v>75</v>
      </c>
      <c r="F86" s="304">
        <v>2000</v>
      </c>
      <c r="G86" s="305">
        <v>4340</v>
      </c>
      <c r="H86" s="305">
        <v>1850</v>
      </c>
      <c r="I86" s="305">
        <f t="shared" si="104"/>
        <v>110</v>
      </c>
      <c r="J86" s="305">
        <f t="shared" si="104"/>
        <v>125</v>
      </c>
      <c r="K86" s="324">
        <v>17985</v>
      </c>
      <c r="L86" s="220">
        <f t="shared" si="70"/>
        <v>560</v>
      </c>
      <c r="M86" s="220">
        <v>80</v>
      </c>
      <c r="N86" s="298">
        <f t="shared" si="101"/>
        <v>190</v>
      </c>
      <c r="O86" s="327">
        <f t="shared" si="101"/>
        <v>230</v>
      </c>
      <c r="P86" s="298">
        <f t="shared" si="101"/>
        <v>90</v>
      </c>
      <c r="Q86" s="298">
        <f t="shared" si="101"/>
        <v>5</v>
      </c>
      <c r="R86" s="298">
        <f t="shared" si="101"/>
        <v>5</v>
      </c>
      <c r="S86" s="306">
        <f t="shared" si="75"/>
        <v>247</v>
      </c>
      <c r="T86" s="307">
        <f t="shared" si="76"/>
        <v>304.75</v>
      </c>
      <c r="U86" s="307">
        <f t="shared" si="77"/>
        <v>112.5</v>
      </c>
      <c r="V86" s="307">
        <f>Tabla1[[#This Row],[CONSUMO POL ANIONICO (KG)]]</f>
        <v>5</v>
      </c>
      <c r="W86" s="299">
        <f>Tabla1[[#This Row],[CONSUMO POL CATIONICO (KG)]]</f>
        <v>5</v>
      </c>
      <c r="X86" s="306">
        <f t="shared" si="78"/>
        <v>441.07142857142856</v>
      </c>
      <c r="Y86" s="307">
        <f t="shared" si="79"/>
        <v>544.19642857142856</v>
      </c>
      <c r="Z86" s="307">
        <f t="shared" si="80"/>
        <v>200.89285714285714</v>
      </c>
      <c r="AA86" s="307">
        <f t="shared" si="81"/>
        <v>8.9285714285714288</v>
      </c>
      <c r="AB86" s="299">
        <f t="shared" si="82"/>
        <v>8.9285714285714288</v>
      </c>
      <c r="AC86" s="308">
        <v>1.3</v>
      </c>
      <c r="AD86" s="308">
        <v>1.325</v>
      </c>
      <c r="AE86" s="308">
        <v>1.25</v>
      </c>
      <c r="AF86" s="309">
        <v>2500</v>
      </c>
      <c r="AG86" s="310">
        <v>2500</v>
      </c>
      <c r="AH86" s="97">
        <v>830</v>
      </c>
      <c r="AI86" s="97">
        <v>2818</v>
      </c>
      <c r="AJ86" s="97">
        <v>6295</v>
      </c>
      <c r="AK86" s="97">
        <v>19050</v>
      </c>
      <c r="AL86" s="97">
        <v>22050</v>
      </c>
      <c r="AM86" s="311">
        <f t="shared" si="83"/>
        <v>205010</v>
      </c>
      <c r="AN86" s="312">
        <f t="shared" si="83"/>
        <v>858785.5</v>
      </c>
      <c r="AO86" s="312">
        <f t="shared" si="83"/>
        <v>708187.5</v>
      </c>
      <c r="AP86" s="312">
        <f t="shared" si="83"/>
        <v>95250</v>
      </c>
      <c r="AQ86" s="313">
        <f t="shared" si="83"/>
        <v>110250</v>
      </c>
      <c r="AR86" s="311">
        <f>SUM(Tabla1[[#This Row],[COSTO OPERATIVO ACIDO]:[COSTO OPERATIVO CATIONICO]])</f>
        <v>1977483</v>
      </c>
      <c r="AS86" s="311">
        <v>3599</v>
      </c>
      <c r="AT86" s="314">
        <f t="shared" si="71"/>
        <v>3531.2196428571428</v>
      </c>
      <c r="AU86" s="220">
        <f>IFERROR(Tabla1[[#This Row],[CAUDAL TOTAL TRATADO GEM ]]/Tabla1[[#This Row],[CAUDAL DE TRATAMIENTO]],0)</f>
        <v>7</v>
      </c>
    </row>
    <row r="87" spans="1:47" ht="15.75" thickBot="1" x14ac:dyDescent="0.3">
      <c r="A87" s="431">
        <f t="shared" ref="A87:A88" si="106">+A86</f>
        <v>46141</v>
      </c>
      <c r="B87" s="96">
        <v>29</v>
      </c>
      <c r="C87" s="213" t="s">
        <v>310</v>
      </c>
      <c r="D87" s="214">
        <v>86</v>
      </c>
      <c r="E87" s="214" t="s">
        <v>77</v>
      </c>
      <c r="F87" s="315">
        <v>1810</v>
      </c>
      <c r="G87" s="316">
        <v>4110</v>
      </c>
      <c r="H87" s="316">
        <v>1760</v>
      </c>
      <c r="I87" s="316">
        <f t="shared" si="104"/>
        <v>105</v>
      </c>
      <c r="J87" s="316">
        <f t="shared" si="104"/>
        <v>120</v>
      </c>
      <c r="K87" s="325">
        <v>17992</v>
      </c>
      <c r="L87" s="219">
        <f t="shared" si="70"/>
        <v>560</v>
      </c>
      <c r="M87" s="219">
        <v>80</v>
      </c>
      <c r="N87" s="300">
        <f t="shared" si="101"/>
        <v>10</v>
      </c>
      <c r="O87" s="328">
        <f t="shared" si="101"/>
        <v>110</v>
      </c>
      <c r="P87" s="300">
        <f t="shared" si="101"/>
        <v>100</v>
      </c>
      <c r="Q87" s="300">
        <f t="shared" si="101"/>
        <v>5</v>
      </c>
      <c r="R87" s="298">
        <f t="shared" si="101"/>
        <v>5</v>
      </c>
      <c r="S87" s="306">
        <f t="shared" si="75"/>
        <v>13</v>
      </c>
      <c r="T87" s="307">
        <f t="shared" si="76"/>
        <v>145.75</v>
      </c>
      <c r="U87" s="307">
        <f t="shared" si="77"/>
        <v>125</v>
      </c>
      <c r="V87" s="317">
        <f>Tabla1[[#This Row],[CONSUMO POL ANIONICO (KG)]]</f>
        <v>5</v>
      </c>
      <c r="W87" s="301">
        <f>Tabla1[[#This Row],[CONSUMO POL CATIONICO (KG)]]</f>
        <v>5</v>
      </c>
      <c r="X87" s="318">
        <f t="shared" si="78"/>
        <v>23.214285714285715</v>
      </c>
      <c r="Y87" s="317">
        <f t="shared" si="79"/>
        <v>260.26785714285717</v>
      </c>
      <c r="Z87" s="317">
        <f t="shared" si="80"/>
        <v>223.21428571428572</v>
      </c>
      <c r="AA87" s="317">
        <f t="shared" si="81"/>
        <v>8.9285714285714288</v>
      </c>
      <c r="AB87" s="301">
        <f t="shared" si="82"/>
        <v>8.9285714285714288</v>
      </c>
      <c r="AC87" s="308">
        <v>1.3</v>
      </c>
      <c r="AD87" s="308">
        <v>1.325</v>
      </c>
      <c r="AE87" s="308">
        <v>1.25</v>
      </c>
      <c r="AF87" s="309">
        <v>2500</v>
      </c>
      <c r="AG87" s="310">
        <v>2500</v>
      </c>
      <c r="AH87" s="97">
        <v>830</v>
      </c>
      <c r="AI87" s="97">
        <v>2818</v>
      </c>
      <c r="AJ87" s="97">
        <v>6295</v>
      </c>
      <c r="AK87" s="97">
        <v>19050</v>
      </c>
      <c r="AL87" s="97">
        <v>22050</v>
      </c>
      <c r="AM87" s="319">
        <f t="shared" si="83"/>
        <v>10790</v>
      </c>
      <c r="AN87" s="314">
        <f t="shared" si="83"/>
        <v>410723.5</v>
      </c>
      <c r="AO87" s="314">
        <f t="shared" si="83"/>
        <v>786875</v>
      </c>
      <c r="AP87" s="314">
        <f t="shared" si="83"/>
        <v>95250</v>
      </c>
      <c r="AQ87" s="320">
        <f t="shared" si="83"/>
        <v>110250</v>
      </c>
      <c r="AR87" s="311">
        <f>SUM(Tabla1[[#This Row],[COSTO OPERATIVO ACIDO]:[COSTO OPERATIVO CATIONICO]])</f>
        <v>1413888.5</v>
      </c>
      <c r="AS87" s="319">
        <v>3599</v>
      </c>
      <c r="AT87" s="314">
        <f t="shared" si="71"/>
        <v>2524.800892857143</v>
      </c>
      <c r="AU87" s="220">
        <f>IFERROR(Tabla1[[#This Row],[CAUDAL TOTAL TRATADO GEM ]]/Tabla1[[#This Row],[CAUDAL DE TRATAMIENTO]],0)</f>
        <v>7</v>
      </c>
    </row>
    <row r="88" spans="1:47" thickBot="1" x14ac:dyDescent="0.3">
      <c r="A88" s="432">
        <f t="shared" si="106"/>
        <v>46141</v>
      </c>
      <c r="B88" s="96">
        <v>29</v>
      </c>
      <c r="C88" s="215" t="s">
        <v>30</v>
      </c>
      <c r="D88" s="216">
        <v>87</v>
      </c>
      <c r="E88" s="216" t="s">
        <v>76</v>
      </c>
      <c r="F88" s="315">
        <v>1800</v>
      </c>
      <c r="G88" s="316">
        <v>4000</v>
      </c>
      <c r="H88" s="316">
        <v>1660</v>
      </c>
      <c r="I88" s="316">
        <f t="shared" ref="I88:J91" si="107">+I87-5</f>
        <v>100</v>
      </c>
      <c r="J88" s="316">
        <f t="shared" si="107"/>
        <v>115</v>
      </c>
      <c r="K88" s="326">
        <v>17999</v>
      </c>
      <c r="L88" s="221">
        <f t="shared" si="70"/>
        <v>560</v>
      </c>
      <c r="M88" s="221">
        <v>80</v>
      </c>
      <c r="N88" s="302">
        <f t="shared" si="101"/>
        <v>60</v>
      </c>
      <c r="O88" s="329">
        <f t="shared" si="101"/>
        <v>190</v>
      </c>
      <c r="P88" s="302">
        <f t="shared" si="101"/>
        <v>60</v>
      </c>
      <c r="Q88" s="302">
        <f t="shared" si="101"/>
        <v>5</v>
      </c>
      <c r="R88" s="298">
        <f t="shared" si="101"/>
        <v>5</v>
      </c>
      <c r="S88" s="306">
        <f t="shared" si="75"/>
        <v>78</v>
      </c>
      <c r="T88" s="307">
        <f t="shared" si="76"/>
        <v>251.75</v>
      </c>
      <c r="U88" s="307">
        <f t="shared" si="77"/>
        <v>75</v>
      </c>
      <c r="V88" s="321">
        <f>Tabla1[[#This Row],[CONSUMO POL ANIONICO (KG)]]</f>
        <v>5</v>
      </c>
      <c r="W88" s="303">
        <f>Tabla1[[#This Row],[CONSUMO POL CATIONICO (KG)]]</f>
        <v>5</v>
      </c>
      <c r="X88" s="318">
        <f t="shared" si="78"/>
        <v>139.28571428571428</v>
      </c>
      <c r="Y88" s="321">
        <f t="shared" si="79"/>
        <v>449.55357142857144</v>
      </c>
      <c r="Z88" s="321">
        <f t="shared" si="80"/>
        <v>133.92857142857142</v>
      </c>
      <c r="AA88" s="321">
        <f t="shared" si="81"/>
        <v>8.9285714285714288</v>
      </c>
      <c r="AB88" s="303">
        <f t="shared" si="82"/>
        <v>8.9285714285714288</v>
      </c>
      <c r="AC88" s="308">
        <v>1.3</v>
      </c>
      <c r="AD88" s="308">
        <v>1.325</v>
      </c>
      <c r="AE88" s="308">
        <v>1.25</v>
      </c>
      <c r="AF88" s="309">
        <v>2500</v>
      </c>
      <c r="AG88" s="310">
        <v>2500</v>
      </c>
      <c r="AH88" s="97">
        <v>830</v>
      </c>
      <c r="AI88" s="97">
        <v>2818</v>
      </c>
      <c r="AJ88" s="97">
        <v>6295</v>
      </c>
      <c r="AK88" s="97">
        <v>19050</v>
      </c>
      <c r="AL88" s="97">
        <v>22050</v>
      </c>
      <c r="AM88" s="319">
        <f t="shared" si="83"/>
        <v>64740</v>
      </c>
      <c r="AN88" s="322">
        <f t="shared" si="83"/>
        <v>709431.5</v>
      </c>
      <c r="AO88" s="322">
        <f t="shared" si="83"/>
        <v>472125</v>
      </c>
      <c r="AP88" s="322">
        <f t="shared" si="83"/>
        <v>95250</v>
      </c>
      <c r="AQ88" s="323">
        <f t="shared" si="83"/>
        <v>110250</v>
      </c>
      <c r="AR88" s="311">
        <f>SUM(Tabla1[[#This Row],[COSTO OPERATIVO ACIDO]:[COSTO OPERATIVO CATIONICO]])</f>
        <v>1451796.5</v>
      </c>
      <c r="AS88" s="319">
        <v>3599</v>
      </c>
      <c r="AT88" s="314">
        <f t="shared" si="71"/>
        <v>2592.4937500000001</v>
      </c>
      <c r="AU88" s="220">
        <f>IFERROR(Tabla1[[#This Row],[CAUDAL TOTAL TRATADO GEM ]]/Tabla1[[#This Row],[CAUDAL DE TRATAMIENTO]],0)</f>
        <v>7</v>
      </c>
    </row>
    <row r="89" spans="1:47" thickBot="1" x14ac:dyDescent="0.3">
      <c r="A89" s="116">
        <f t="shared" ref="A89" si="108">+A88+1</f>
        <v>46142</v>
      </c>
      <c r="B89" s="96">
        <v>30</v>
      </c>
      <c r="C89" s="211" t="s">
        <v>311</v>
      </c>
      <c r="D89" s="212">
        <v>88</v>
      </c>
      <c r="E89" s="212" t="s">
        <v>75</v>
      </c>
      <c r="F89" s="304">
        <v>1740</v>
      </c>
      <c r="G89" s="305">
        <v>3810</v>
      </c>
      <c r="H89" s="305">
        <v>1600</v>
      </c>
      <c r="I89" s="305">
        <f t="shared" si="107"/>
        <v>95</v>
      </c>
      <c r="J89" s="305">
        <f t="shared" si="107"/>
        <v>110</v>
      </c>
      <c r="K89" s="324">
        <v>18006</v>
      </c>
      <c r="L89" s="220">
        <f t="shared" si="70"/>
        <v>560</v>
      </c>
      <c r="M89" s="220">
        <v>80</v>
      </c>
      <c r="N89" s="298">
        <f t="shared" si="101"/>
        <v>130</v>
      </c>
      <c r="O89" s="661">
        <f>G89-G90-100</f>
        <v>200</v>
      </c>
      <c r="P89" s="298">
        <f t="shared" si="101"/>
        <v>50</v>
      </c>
      <c r="Q89" s="298">
        <f t="shared" si="101"/>
        <v>5</v>
      </c>
      <c r="R89" s="298">
        <f t="shared" si="101"/>
        <v>5</v>
      </c>
      <c r="S89" s="306">
        <f t="shared" si="75"/>
        <v>169</v>
      </c>
      <c r="T89" s="307">
        <f t="shared" si="76"/>
        <v>265</v>
      </c>
      <c r="U89" s="307">
        <f t="shared" si="77"/>
        <v>62.5</v>
      </c>
      <c r="V89" s="307">
        <f>Tabla1[[#This Row],[CONSUMO POL ANIONICO (KG)]]</f>
        <v>5</v>
      </c>
      <c r="W89" s="299">
        <f>Tabla1[[#This Row],[CONSUMO POL CATIONICO (KG)]]</f>
        <v>5</v>
      </c>
      <c r="X89" s="306">
        <f t="shared" si="78"/>
        <v>301.78571428571428</v>
      </c>
      <c r="Y89" s="307">
        <f t="shared" si="79"/>
        <v>473.21428571428572</v>
      </c>
      <c r="Z89" s="307">
        <f t="shared" si="80"/>
        <v>111.60714285714286</v>
      </c>
      <c r="AA89" s="307">
        <f t="shared" si="81"/>
        <v>8.9285714285714288</v>
      </c>
      <c r="AB89" s="299">
        <f t="shared" si="82"/>
        <v>8.9285714285714288</v>
      </c>
      <c r="AC89" s="308">
        <v>1.3</v>
      </c>
      <c r="AD89" s="308">
        <v>1.325</v>
      </c>
      <c r="AE89" s="308">
        <v>1.25</v>
      </c>
      <c r="AF89" s="309">
        <v>2500</v>
      </c>
      <c r="AG89" s="310">
        <v>2500</v>
      </c>
      <c r="AH89" s="97">
        <v>830</v>
      </c>
      <c r="AI89" s="97">
        <v>2818</v>
      </c>
      <c r="AJ89" s="97">
        <v>6295</v>
      </c>
      <c r="AK89" s="97">
        <v>19050</v>
      </c>
      <c r="AL89" s="97">
        <v>22050</v>
      </c>
      <c r="AM89" s="311">
        <f t="shared" si="83"/>
        <v>140270</v>
      </c>
      <c r="AN89" s="312">
        <f t="shared" si="83"/>
        <v>746770</v>
      </c>
      <c r="AO89" s="312">
        <f t="shared" si="83"/>
        <v>393437.5</v>
      </c>
      <c r="AP89" s="312">
        <f t="shared" si="83"/>
        <v>95250</v>
      </c>
      <c r="AQ89" s="313">
        <f t="shared" si="83"/>
        <v>110250</v>
      </c>
      <c r="AR89" s="311">
        <f>SUM(Tabla1[[#This Row],[COSTO OPERATIVO ACIDO]:[COSTO OPERATIVO CATIONICO]])</f>
        <v>1485977.5</v>
      </c>
      <c r="AS89" s="311">
        <v>3599</v>
      </c>
      <c r="AT89" s="314">
        <f t="shared" si="71"/>
        <v>2653.53125</v>
      </c>
      <c r="AU89" s="220">
        <f>IFERROR(Tabla1[[#This Row],[CAUDAL TOTAL TRATADO GEM ]]/Tabla1[[#This Row],[CAUDAL DE TRATAMIENTO]],0)</f>
        <v>7</v>
      </c>
    </row>
    <row r="90" spans="1:47" ht="15.75" thickBot="1" x14ac:dyDescent="0.3">
      <c r="A90" s="431">
        <f t="shared" ref="A90:A91" si="109">+A89</f>
        <v>46142</v>
      </c>
      <c r="B90" s="96">
        <v>30</v>
      </c>
      <c r="C90" s="213" t="s">
        <v>312</v>
      </c>
      <c r="D90" s="214">
        <v>89</v>
      </c>
      <c r="E90" s="214" t="s">
        <v>77</v>
      </c>
      <c r="F90" s="315">
        <v>1610</v>
      </c>
      <c r="G90" s="316">
        <v>3510</v>
      </c>
      <c r="H90" s="316">
        <v>1550</v>
      </c>
      <c r="I90" s="316">
        <f t="shared" si="107"/>
        <v>90</v>
      </c>
      <c r="J90" s="316">
        <f t="shared" si="107"/>
        <v>105</v>
      </c>
      <c r="K90" s="325">
        <v>18013</v>
      </c>
      <c r="L90" s="219">
        <f t="shared" si="70"/>
        <v>560</v>
      </c>
      <c r="M90" s="219">
        <v>80</v>
      </c>
      <c r="N90" s="300">
        <f t="shared" si="101"/>
        <v>130</v>
      </c>
      <c r="O90" s="328">
        <f t="shared" si="101"/>
        <v>210</v>
      </c>
      <c r="P90" s="300">
        <f t="shared" si="101"/>
        <v>50</v>
      </c>
      <c r="Q90" s="300">
        <f t="shared" si="101"/>
        <v>5</v>
      </c>
      <c r="R90" s="298">
        <f t="shared" si="101"/>
        <v>5</v>
      </c>
      <c r="S90" s="306">
        <f t="shared" si="75"/>
        <v>169</v>
      </c>
      <c r="T90" s="307">
        <f t="shared" si="76"/>
        <v>278.25</v>
      </c>
      <c r="U90" s="307">
        <f t="shared" si="77"/>
        <v>62.5</v>
      </c>
      <c r="V90" s="317">
        <f>Tabla1[[#This Row],[CONSUMO POL ANIONICO (KG)]]</f>
        <v>5</v>
      </c>
      <c r="W90" s="301">
        <f>Tabla1[[#This Row],[CONSUMO POL CATIONICO (KG)]]</f>
        <v>5</v>
      </c>
      <c r="X90" s="318">
        <f t="shared" si="78"/>
        <v>301.78571428571428</v>
      </c>
      <c r="Y90" s="317">
        <f t="shared" si="79"/>
        <v>496.875</v>
      </c>
      <c r="Z90" s="317">
        <f t="shared" si="80"/>
        <v>111.60714285714286</v>
      </c>
      <c r="AA90" s="317">
        <f t="shared" si="81"/>
        <v>8.9285714285714288</v>
      </c>
      <c r="AB90" s="301">
        <f t="shared" si="82"/>
        <v>8.9285714285714288</v>
      </c>
      <c r="AC90" s="308">
        <v>1.3</v>
      </c>
      <c r="AD90" s="308">
        <v>1.325</v>
      </c>
      <c r="AE90" s="308">
        <v>1.25</v>
      </c>
      <c r="AF90" s="309">
        <v>2500</v>
      </c>
      <c r="AG90" s="310">
        <v>2500</v>
      </c>
      <c r="AH90" s="97">
        <v>830</v>
      </c>
      <c r="AI90" s="97">
        <v>2818</v>
      </c>
      <c r="AJ90" s="97">
        <v>6295</v>
      </c>
      <c r="AK90" s="97">
        <v>19050</v>
      </c>
      <c r="AL90" s="97">
        <v>22050</v>
      </c>
      <c r="AM90" s="319">
        <f t="shared" si="83"/>
        <v>140270</v>
      </c>
      <c r="AN90" s="314">
        <f t="shared" si="83"/>
        <v>784108.5</v>
      </c>
      <c r="AO90" s="314">
        <f t="shared" si="83"/>
        <v>393437.5</v>
      </c>
      <c r="AP90" s="314">
        <f t="shared" si="83"/>
        <v>95250</v>
      </c>
      <c r="AQ90" s="320">
        <f t="shared" si="83"/>
        <v>110250</v>
      </c>
      <c r="AR90" s="311">
        <f>SUM(Tabla1[[#This Row],[COSTO OPERATIVO ACIDO]:[COSTO OPERATIVO CATIONICO]])</f>
        <v>1523316</v>
      </c>
      <c r="AS90" s="319">
        <v>3599</v>
      </c>
      <c r="AT90" s="314">
        <f t="shared" si="71"/>
        <v>2720.207142857143</v>
      </c>
      <c r="AU90" s="220">
        <f>IFERROR(Tabla1[[#This Row],[CAUDAL TOTAL TRATADO GEM ]]/Tabla1[[#This Row],[CAUDAL DE TRATAMIENTO]],0)</f>
        <v>7</v>
      </c>
    </row>
    <row r="91" spans="1:47" thickBot="1" x14ac:dyDescent="0.3">
      <c r="A91" s="432">
        <f t="shared" si="109"/>
        <v>46142</v>
      </c>
      <c r="B91" s="96">
        <v>30</v>
      </c>
      <c r="C91" s="215" t="s">
        <v>30</v>
      </c>
      <c r="D91" s="216">
        <v>90</v>
      </c>
      <c r="E91" s="216" t="s">
        <v>76</v>
      </c>
      <c r="F91" s="315">
        <v>1480</v>
      </c>
      <c r="G91" s="316">
        <v>3300</v>
      </c>
      <c r="H91" s="316">
        <v>1500</v>
      </c>
      <c r="I91" s="316">
        <f t="shared" si="107"/>
        <v>85</v>
      </c>
      <c r="J91" s="316">
        <f t="shared" si="107"/>
        <v>100</v>
      </c>
      <c r="K91" s="326">
        <v>18020</v>
      </c>
      <c r="L91" s="221">
        <f t="shared" si="70"/>
        <v>400</v>
      </c>
      <c r="M91" s="221">
        <v>80</v>
      </c>
      <c r="N91" s="302">
        <f t="shared" si="101"/>
        <v>80</v>
      </c>
      <c r="O91" s="329">
        <f t="shared" si="101"/>
        <v>120</v>
      </c>
      <c r="P91" s="302">
        <f t="shared" si="101"/>
        <v>60</v>
      </c>
      <c r="Q91" s="302">
        <f t="shared" si="101"/>
        <v>5</v>
      </c>
      <c r="R91" s="298">
        <f t="shared" si="101"/>
        <v>5</v>
      </c>
      <c r="S91" s="306">
        <f t="shared" si="75"/>
        <v>104</v>
      </c>
      <c r="T91" s="307">
        <f t="shared" si="76"/>
        <v>159</v>
      </c>
      <c r="U91" s="307">
        <f t="shared" si="77"/>
        <v>75</v>
      </c>
      <c r="V91" s="321">
        <f>Tabla1[[#This Row],[CONSUMO POL ANIONICO (KG)]]</f>
        <v>5</v>
      </c>
      <c r="W91" s="303">
        <f>Tabla1[[#This Row],[CONSUMO POL CATIONICO (KG)]]</f>
        <v>5</v>
      </c>
      <c r="X91" s="318">
        <f t="shared" si="78"/>
        <v>260</v>
      </c>
      <c r="Y91" s="321">
        <f t="shared" si="79"/>
        <v>397.5</v>
      </c>
      <c r="Z91" s="321">
        <f t="shared" si="80"/>
        <v>187.5</v>
      </c>
      <c r="AA91" s="321">
        <f t="shared" si="81"/>
        <v>12.5</v>
      </c>
      <c r="AB91" s="303">
        <f t="shared" si="82"/>
        <v>12.5</v>
      </c>
      <c r="AC91" s="308">
        <v>1.3</v>
      </c>
      <c r="AD91" s="308">
        <v>1.325</v>
      </c>
      <c r="AE91" s="308">
        <v>1.25</v>
      </c>
      <c r="AF91" s="309">
        <v>2500</v>
      </c>
      <c r="AG91" s="310">
        <v>2500</v>
      </c>
      <c r="AH91" s="97">
        <v>830</v>
      </c>
      <c r="AI91" s="97">
        <v>2818</v>
      </c>
      <c r="AJ91" s="97">
        <v>6295</v>
      </c>
      <c r="AK91" s="97">
        <v>19050</v>
      </c>
      <c r="AL91" s="97">
        <v>22050</v>
      </c>
      <c r="AM91" s="319">
        <f t="shared" si="83"/>
        <v>86320</v>
      </c>
      <c r="AN91" s="322">
        <f t="shared" si="83"/>
        <v>448062</v>
      </c>
      <c r="AO91" s="322">
        <f t="shared" si="83"/>
        <v>472125</v>
      </c>
      <c r="AP91" s="322">
        <f t="shared" si="83"/>
        <v>95250</v>
      </c>
      <c r="AQ91" s="323">
        <f t="shared" si="83"/>
        <v>110250</v>
      </c>
      <c r="AR91" s="311">
        <f>SUM(Tabla1[[#This Row],[COSTO OPERATIVO ACIDO]:[COSTO OPERATIVO CATIONICO]])</f>
        <v>1212007</v>
      </c>
      <c r="AS91" s="319">
        <v>3599</v>
      </c>
      <c r="AT91" s="314">
        <f t="shared" si="71"/>
        <v>3030.0174999999999</v>
      </c>
      <c r="AU91" s="220">
        <f>IFERROR(Tabla1[[#This Row],[CAUDAL TOTAL TRATADO GEM ]]/Tabla1[[#This Row],[CAUDAL DE TRATAMIENTO]],0)</f>
        <v>5</v>
      </c>
    </row>
    <row r="92" spans="1:47" thickBot="1" x14ac:dyDescent="0.3">
      <c r="A92" s="116">
        <f t="shared" ref="A92" si="110">+A91+1</f>
        <v>46143</v>
      </c>
      <c r="B92" s="96">
        <v>31</v>
      </c>
      <c r="C92" s="211" t="s">
        <v>313</v>
      </c>
      <c r="D92" s="212">
        <v>91</v>
      </c>
      <c r="E92" s="212" t="s">
        <v>75</v>
      </c>
      <c r="F92" s="304">
        <v>1400</v>
      </c>
      <c r="G92" s="305">
        <v>3180</v>
      </c>
      <c r="H92" s="305">
        <v>1440</v>
      </c>
      <c r="I92" s="305">
        <f>+I91-5</f>
        <v>80</v>
      </c>
      <c r="J92" s="305">
        <f>+J91-5</f>
        <v>95</v>
      </c>
      <c r="K92" s="324">
        <v>18025</v>
      </c>
      <c r="L92" s="220">
        <f t="shared" si="70"/>
        <v>-1442000</v>
      </c>
      <c r="M92" s="220">
        <v>80</v>
      </c>
      <c r="N92" s="298">
        <f t="shared" si="101"/>
        <v>1400</v>
      </c>
      <c r="O92" s="327">
        <f t="shared" si="101"/>
        <v>3180</v>
      </c>
      <c r="P92" s="298">
        <f t="shared" si="101"/>
        <v>1440</v>
      </c>
      <c r="Q92" s="298">
        <f t="shared" si="101"/>
        <v>80</v>
      </c>
      <c r="R92" s="298">
        <f t="shared" si="101"/>
        <v>95</v>
      </c>
      <c r="S92" s="306">
        <f t="shared" si="75"/>
        <v>1820</v>
      </c>
      <c r="T92" s="307">
        <f t="shared" si="76"/>
        <v>4213.5</v>
      </c>
      <c r="U92" s="307">
        <f t="shared" si="77"/>
        <v>1800</v>
      </c>
      <c r="V92" s="307">
        <f>Tabla1[[#This Row],[CONSUMO POL ANIONICO (KG)]]</f>
        <v>80</v>
      </c>
      <c r="W92" s="299">
        <f>Tabla1[[#This Row],[CONSUMO POL CATIONICO (KG)]]</f>
        <v>95</v>
      </c>
      <c r="X92" s="306">
        <f t="shared" si="78"/>
        <v>-1.2621359223300972</v>
      </c>
      <c r="Y92" s="307">
        <f t="shared" si="79"/>
        <v>-2.9219833564493758</v>
      </c>
      <c r="Z92" s="307">
        <f t="shared" si="80"/>
        <v>-1.248266296809986</v>
      </c>
      <c r="AA92" s="307">
        <f t="shared" si="81"/>
        <v>-5.5478502080443831E-2</v>
      </c>
      <c r="AB92" s="299">
        <f t="shared" si="82"/>
        <v>-6.5880721220527044E-2</v>
      </c>
      <c r="AC92" s="308">
        <v>1.3</v>
      </c>
      <c r="AD92" s="308">
        <v>1.325</v>
      </c>
      <c r="AE92" s="308">
        <v>1.25</v>
      </c>
      <c r="AF92" s="309">
        <v>2500</v>
      </c>
      <c r="AG92" s="310">
        <v>2500</v>
      </c>
      <c r="AH92" s="97">
        <v>830</v>
      </c>
      <c r="AI92" s="97">
        <v>2818</v>
      </c>
      <c r="AJ92" s="97">
        <v>6295</v>
      </c>
      <c r="AK92" s="97">
        <v>19050</v>
      </c>
      <c r="AL92" s="97">
        <v>22050</v>
      </c>
      <c r="AM92" s="311">
        <f t="shared" si="83"/>
        <v>1510600</v>
      </c>
      <c r="AN92" s="312">
        <f t="shared" si="83"/>
        <v>11873643</v>
      </c>
      <c r="AO92" s="312">
        <f t="shared" si="83"/>
        <v>11331000</v>
      </c>
      <c r="AP92" s="312">
        <f t="shared" si="83"/>
        <v>1524000</v>
      </c>
      <c r="AQ92" s="313">
        <f t="shared" si="83"/>
        <v>2094750</v>
      </c>
      <c r="AR92" s="311">
        <f>SUM(Tabla1[[#This Row],[COSTO OPERATIVO ACIDO]:[COSTO OPERATIVO CATIONICO]])</f>
        <v>28333993</v>
      </c>
      <c r="AS92" s="311">
        <v>3599</v>
      </c>
      <c r="AT92" s="314">
        <f t="shared" si="71"/>
        <v>-19.649093619972259</v>
      </c>
      <c r="AU92" s="220">
        <f>IFERROR(Tabla1[[#This Row],[CAUDAL TOTAL TRATADO GEM ]]/Tabla1[[#This Row],[CAUDAL DE TRATAMIENTO]],0)</f>
        <v>-18025</v>
      </c>
    </row>
    <row r="93" spans="1:47" ht="15.75" thickBot="1" x14ac:dyDescent="0.3">
      <c r="A93" s="431">
        <f t="shared" ref="A93:A94" si="111">+A92</f>
        <v>46143</v>
      </c>
      <c r="B93" s="96">
        <v>31</v>
      </c>
      <c r="C93" s="213" t="s">
        <v>314</v>
      </c>
      <c r="D93" s="214">
        <v>92</v>
      </c>
      <c r="E93" s="214" t="s">
        <v>77</v>
      </c>
      <c r="F93" s="315"/>
      <c r="G93" s="316"/>
      <c r="H93" s="316"/>
      <c r="I93" s="316"/>
      <c r="J93" s="316"/>
      <c r="K93" s="325"/>
      <c r="L93" s="219">
        <f t="shared" si="70"/>
        <v>0</v>
      </c>
      <c r="M93" s="219">
        <v>80</v>
      </c>
      <c r="N93" s="300">
        <f t="shared" si="101"/>
        <v>0</v>
      </c>
      <c r="O93" s="328">
        <f t="shared" si="101"/>
        <v>0</v>
      </c>
      <c r="P93" s="300">
        <f t="shared" si="101"/>
        <v>0</v>
      </c>
      <c r="Q93" s="300">
        <f t="shared" si="101"/>
        <v>0</v>
      </c>
      <c r="R93" s="298">
        <f t="shared" si="101"/>
        <v>0</v>
      </c>
      <c r="S93" s="306">
        <f t="shared" si="75"/>
        <v>0</v>
      </c>
      <c r="T93" s="307">
        <f t="shared" si="76"/>
        <v>0</v>
      </c>
      <c r="U93" s="307">
        <f t="shared" si="77"/>
        <v>0</v>
      </c>
      <c r="V93" s="317">
        <f>Tabla1[[#This Row],[CONSUMO POL ANIONICO (KG)]]</f>
        <v>0</v>
      </c>
      <c r="W93" s="301">
        <f>Tabla1[[#This Row],[CONSUMO POL CATIONICO (KG)]]</f>
        <v>0</v>
      </c>
      <c r="X93" s="318" t="e">
        <f t="shared" si="78"/>
        <v>#DIV/0!</v>
      </c>
      <c r="Y93" s="317" t="e">
        <f t="shared" si="79"/>
        <v>#DIV/0!</v>
      </c>
      <c r="Z93" s="317" t="e">
        <f t="shared" si="80"/>
        <v>#DIV/0!</v>
      </c>
      <c r="AA93" s="317" t="e">
        <f t="shared" si="81"/>
        <v>#DIV/0!</v>
      </c>
      <c r="AB93" s="301" t="e">
        <f t="shared" si="82"/>
        <v>#DIV/0!</v>
      </c>
      <c r="AC93" s="308">
        <v>1.3</v>
      </c>
      <c r="AD93" s="308">
        <v>1.325</v>
      </c>
      <c r="AE93" s="308">
        <v>1.25</v>
      </c>
      <c r="AF93" s="309">
        <v>2500</v>
      </c>
      <c r="AG93" s="310">
        <v>2500</v>
      </c>
      <c r="AH93" s="97">
        <v>830</v>
      </c>
      <c r="AI93" s="97">
        <v>2818</v>
      </c>
      <c r="AJ93" s="97">
        <v>6295</v>
      </c>
      <c r="AK93" s="97">
        <v>19050</v>
      </c>
      <c r="AL93" s="97">
        <v>22050</v>
      </c>
      <c r="AM93" s="319">
        <f t="shared" si="83"/>
        <v>0</v>
      </c>
      <c r="AN93" s="314">
        <f t="shared" si="83"/>
        <v>0</v>
      </c>
      <c r="AO93" s="314">
        <f t="shared" si="83"/>
        <v>0</v>
      </c>
      <c r="AP93" s="314">
        <f t="shared" si="83"/>
        <v>0</v>
      </c>
      <c r="AQ93" s="320">
        <f t="shared" si="83"/>
        <v>0</v>
      </c>
      <c r="AR93" s="311">
        <f>SUM(Tabla1[[#This Row],[COSTO OPERATIVO ACIDO]:[COSTO OPERATIVO CATIONICO]])</f>
        <v>0</v>
      </c>
      <c r="AS93" s="319">
        <v>3599</v>
      </c>
      <c r="AT93" s="314" t="e">
        <f t="shared" si="71"/>
        <v>#DIV/0!</v>
      </c>
      <c r="AU93" s="220">
        <f>IFERROR(Tabla1[[#This Row],[CAUDAL TOTAL TRATADO GEM ]]/Tabla1[[#This Row],[CAUDAL DE TRATAMIENTO]],0)</f>
        <v>0</v>
      </c>
    </row>
    <row r="94" spans="1:47" s="233" customFormat="1" thickBot="1" x14ac:dyDescent="0.3">
      <c r="A94" s="432">
        <f t="shared" si="111"/>
        <v>46143</v>
      </c>
      <c r="B94" s="230">
        <v>31</v>
      </c>
      <c r="C94" s="236" t="s">
        <v>30</v>
      </c>
      <c r="D94" s="237">
        <v>93</v>
      </c>
      <c r="E94" s="237" t="s">
        <v>76</v>
      </c>
      <c r="F94" s="315"/>
      <c r="G94" s="316"/>
      <c r="H94" s="316"/>
      <c r="I94" s="316"/>
      <c r="J94" s="316"/>
      <c r="K94" s="326"/>
      <c r="L94" s="221">
        <f t="shared" si="70"/>
        <v>0</v>
      </c>
      <c r="M94" s="221">
        <v>80</v>
      </c>
      <c r="N94" s="302">
        <f t="shared" si="101"/>
        <v>0</v>
      </c>
      <c r="O94" s="329">
        <f t="shared" si="101"/>
        <v>0</v>
      </c>
      <c r="P94" s="302">
        <f t="shared" si="101"/>
        <v>0</v>
      </c>
      <c r="Q94" s="302">
        <f t="shared" si="101"/>
        <v>0</v>
      </c>
      <c r="R94" s="298">
        <f t="shared" si="101"/>
        <v>0</v>
      </c>
      <c r="S94" s="306">
        <f t="shared" si="75"/>
        <v>0</v>
      </c>
      <c r="T94" s="307">
        <f t="shared" si="76"/>
        <v>0</v>
      </c>
      <c r="U94" s="307">
        <f t="shared" si="77"/>
        <v>0</v>
      </c>
      <c r="V94" s="321">
        <f>Tabla1[[#This Row],[CONSUMO POL ANIONICO (KG)]]</f>
        <v>0</v>
      </c>
      <c r="W94" s="303">
        <f>Tabla1[[#This Row],[CONSUMO POL CATIONICO (KG)]]</f>
        <v>0</v>
      </c>
      <c r="X94" s="318" t="e">
        <f t="shared" si="78"/>
        <v>#DIV/0!</v>
      </c>
      <c r="Y94" s="321" t="e">
        <f t="shared" si="79"/>
        <v>#DIV/0!</v>
      </c>
      <c r="Z94" s="321" t="e">
        <f t="shared" si="80"/>
        <v>#DIV/0!</v>
      </c>
      <c r="AA94" s="321" t="e">
        <f t="shared" si="81"/>
        <v>#DIV/0!</v>
      </c>
      <c r="AB94" s="303" t="e">
        <f t="shared" si="82"/>
        <v>#DIV/0!</v>
      </c>
      <c r="AC94" s="308">
        <v>1.3</v>
      </c>
      <c r="AD94" s="308">
        <v>1.325</v>
      </c>
      <c r="AE94" s="308">
        <v>1.25</v>
      </c>
      <c r="AF94" s="309">
        <v>2500</v>
      </c>
      <c r="AG94" s="310">
        <v>2500</v>
      </c>
      <c r="AH94" s="97">
        <v>830</v>
      </c>
      <c r="AI94" s="97">
        <v>2818</v>
      </c>
      <c r="AJ94" s="97">
        <v>6295</v>
      </c>
      <c r="AK94" s="97">
        <v>19050</v>
      </c>
      <c r="AL94" s="97">
        <v>22050</v>
      </c>
      <c r="AM94" s="319">
        <f t="shared" si="83"/>
        <v>0</v>
      </c>
      <c r="AN94" s="322">
        <f t="shared" si="83"/>
        <v>0</v>
      </c>
      <c r="AO94" s="322">
        <f t="shared" si="83"/>
        <v>0</v>
      </c>
      <c r="AP94" s="322">
        <f t="shared" si="83"/>
        <v>0</v>
      </c>
      <c r="AQ94" s="323">
        <f t="shared" si="83"/>
        <v>0</v>
      </c>
      <c r="AR94" s="311">
        <f>SUM(Tabla1[[#This Row],[COSTO OPERATIVO ACIDO]:[COSTO OPERATIVO CATIONICO]])</f>
        <v>0</v>
      </c>
      <c r="AS94" s="319">
        <v>3599</v>
      </c>
      <c r="AT94" s="314" t="e">
        <f t="shared" si="71"/>
        <v>#DIV/0!</v>
      </c>
      <c r="AU94" s="220">
        <f>IFERROR(Tabla1[[#This Row],[CAUDAL TOTAL TRATADO GEM ]]/Tabla1[[#This Row],[CAUDAL DE TRATAMIENTO]],0)</f>
        <v>0</v>
      </c>
    </row>
    <row r="95" spans="1:47" thickBot="1" x14ac:dyDescent="0.3">
      <c r="B95" s="592"/>
      <c r="F95" s="315"/>
      <c r="G95" s="316"/>
      <c r="H95" s="316"/>
      <c r="I95" s="316"/>
      <c r="J95" s="316"/>
      <c r="K95" s="325"/>
      <c r="L95" s="219">
        <f t="shared" si="70"/>
        <v>0</v>
      </c>
      <c r="M95" s="219"/>
      <c r="N95" s="300">
        <f t="shared" ref="N95:N96" si="112">F95-F96</f>
        <v>0</v>
      </c>
      <c r="O95" s="328"/>
      <c r="P95" s="300"/>
      <c r="Q95" s="300">
        <f t="shared" ref="Q95:Q96" si="113">I95-I96</f>
        <v>0</v>
      </c>
      <c r="R95" s="593"/>
      <c r="S95" s="594">
        <f t="shared" ref="S95:S96" si="114">(N95*$AC$2)</f>
        <v>0</v>
      </c>
      <c r="T95" s="596">
        <f t="shared" ref="T95:T96" si="115">(O95*$AD$2)</f>
        <v>0</v>
      </c>
      <c r="U95" s="596">
        <f t="shared" ref="U95:U96" si="116">(P95*$AE$2)</f>
        <v>0</v>
      </c>
      <c r="V95" s="317">
        <f>Tabla1[[#This Row],[CONSUMO POL ANIONICO (KG)]]</f>
        <v>0</v>
      </c>
      <c r="W95" s="301">
        <f>Tabla1[[#This Row],[CONSUMO POL CATIONICO (KG)]]</f>
        <v>0</v>
      </c>
      <c r="X95" s="318" t="e">
        <f t="shared" ref="X95:X96" si="117">(S95*1000)/L95</f>
        <v>#DIV/0!</v>
      </c>
      <c r="Y95" s="317" t="e">
        <f t="shared" ref="Y95:Y96" si="118">(T95*1000)/L95</f>
        <v>#DIV/0!</v>
      </c>
      <c r="Z95" s="317" t="e">
        <f t="shared" ref="Z95:Z96" si="119">(U95*1000)/L95</f>
        <v>#DIV/0!</v>
      </c>
      <c r="AA95" s="317" t="e">
        <f t="shared" ref="AA95:AA96" si="120">(V95*1000)/L95</f>
        <v>#DIV/0!</v>
      </c>
      <c r="AB95" s="301" t="e">
        <f t="shared" ref="AB95:AB96" si="121">(W95*1000)/L95</f>
        <v>#DIV/0!</v>
      </c>
      <c r="AC95" s="308"/>
      <c r="AD95" s="308"/>
      <c r="AE95" s="308"/>
      <c r="AF95" s="309"/>
      <c r="AG95" s="598"/>
      <c r="AH95" s="97"/>
      <c r="AI95" s="97"/>
      <c r="AJ95" s="97"/>
      <c r="AK95" s="97"/>
      <c r="AL95" s="97"/>
      <c r="AM95" s="600">
        <f t="shared" ref="AM95:AM96" si="122">S95*AH95</f>
        <v>0</v>
      </c>
      <c r="AN95" s="314">
        <f t="shared" ref="AN95:AN96" si="123">T95*AI95</f>
        <v>0</v>
      </c>
      <c r="AO95" s="314">
        <f t="shared" ref="AO95:AO96" si="124">U95*AJ95</f>
        <v>0</v>
      </c>
      <c r="AP95" s="314">
        <f t="shared" ref="AP95:AP96" si="125">V95*AK95</f>
        <v>0</v>
      </c>
      <c r="AQ95" s="320">
        <f t="shared" ref="AQ95:AQ96" si="126">W95*AL95</f>
        <v>0</v>
      </c>
      <c r="AR95" s="311">
        <f>SUM(Tabla1[[#This Row],[COSTO OPERATIVO ACIDO]:[COSTO OPERATIVO CATIONICO]])</f>
        <v>0</v>
      </c>
      <c r="AS95" s="319"/>
      <c r="AT95" s="590" t="e">
        <f t="shared" si="71"/>
        <v>#DIV/0!</v>
      </c>
      <c r="AU95" s="219">
        <f>IFERROR(Tabla1[[#This Row],[CAUDAL TOTAL TRATADO GEM ]]/Tabla1[[#This Row],[CAUDAL DE TRATAMIENTO]],0)</f>
        <v>0</v>
      </c>
    </row>
    <row r="96" spans="1:47" thickBot="1" x14ac:dyDescent="0.3">
      <c r="A96" s="591"/>
      <c r="B96" s="592"/>
      <c r="F96" s="315"/>
      <c r="G96" s="316"/>
      <c r="H96" s="316"/>
      <c r="I96" s="316"/>
      <c r="J96" s="316"/>
      <c r="K96" s="325"/>
      <c r="L96" s="219">
        <f t="shared" si="70"/>
        <v>0</v>
      </c>
      <c r="M96" s="219"/>
      <c r="N96" s="300">
        <f t="shared" si="112"/>
        <v>-2160</v>
      </c>
      <c r="O96" s="328"/>
      <c r="P96" s="300"/>
      <c r="Q96" s="300">
        <f t="shared" si="113"/>
        <v>-205</v>
      </c>
      <c r="R96" s="593"/>
      <c r="S96" s="595">
        <f t="shared" si="114"/>
        <v>-2808</v>
      </c>
      <c r="T96" s="597">
        <f t="shared" si="115"/>
        <v>0</v>
      </c>
      <c r="U96" s="597">
        <f t="shared" si="116"/>
        <v>0</v>
      </c>
      <c r="V96" s="317">
        <f>Tabla1[[#This Row],[CONSUMO POL ANIONICO (KG)]]</f>
        <v>-205</v>
      </c>
      <c r="W96" s="301">
        <f>Tabla1[[#This Row],[CONSUMO POL CATIONICO (KG)]]</f>
        <v>0</v>
      </c>
      <c r="X96" s="318" t="e">
        <f t="shared" si="117"/>
        <v>#DIV/0!</v>
      </c>
      <c r="Y96" s="317" t="e">
        <f t="shared" si="118"/>
        <v>#DIV/0!</v>
      </c>
      <c r="Z96" s="317" t="e">
        <f t="shared" si="119"/>
        <v>#DIV/0!</v>
      </c>
      <c r="AA96" s="317" t="e">
        <f t="shared" si="120"/>
        <v>#DIV/0!</v>
      </c>
      <c r="AB96" s="301" t="e">
        <f t="shared" si="121"/>
        <v>#DIV/0!</v>
      </c>
      <c r="AC96" s="308"/>
      <c r="AD96" s="308"/>
      <c r="AE96" s="308"/>
      <c r="AF96" s="309"/>
      <c r="AG96" s="599"/>
      <c r="AH96" s="97"/>
      <c r="AI96" s="97"/>
      <c r="AJ96" s="97"/>
      <c r="AK96" s="97"/>
      <c r="AL96" s="97"/>
      <c r="AM96" s="601">
        <f t="shared" si="122"/>
        <v>0</v>
      </c>
      <c r="AN96" s="314">
        <f t="shared" si="123"/>
        <v>0</v>
      </c>
      <c r="AO96" s="314">
        <f t="shared" si="124"/>
        <v>0</v>
      </c>
      <c r="AP96" s="314">
        <f t="shared" si="125"/>
        <v>0</v>
      </c>
      <c r="AQ96" s="320">
        <f t="shared" si="126"/>
        <v>0</v>
      </c>
      <c r="AR96" s="311">
        <f>SUM(Tabla1[[#This Row],[COSTO OPERATIVO ACIDO]:[COSTO OPERATIVO CATIONICO]])</f>
        <v>0</v>
      </c>
      <c r="AS96" s="319"/>
      <c r="AT96" s="314" t="e">
        <f t="shared" si="71"/>
        <v>#DIV/0!</v>
      </c>
      <c r="AU96" s="219">
        <f>IFERROR(Tabla1[[#This Row],[CAUDAL TOTAL TRATADO GEM ]]/Tabla1[[#This Row],[CAUDAL DE TRATAMIENTO]],0)</f>
        <v>0</v>
      </c>
    </row>
    <row r="97" spans="1:47" ht="14.25" x14ac:dyDescent="0.25">
      <c r="A97" s="39"/>
      <c r="B97" s="103"/>
      <c r="C97" s="38"/>
      <c r="D97" s="67"/>
      <c r="E97" s="67"/>
      <c r="F97" s="187" t="s">
        <v>221</v>
      </c>
      <c r="G97" s="187" t="s">
        <v>222</v>
      </c>
      <c r="H97" s="187" t="s">
        <v>223</v>
      </c>
      <c r="I97" s="187" t="s">
        <v>224</v>
      </c>
      <c r="J97" s="187" t="s">
        <v>225</v>
      </c>
      <c r="K97" s="74"/>
      <c r="L97" s="198"/>
      <c r="M97" s="198" t="s">
        <v>426</v>
      </c>
      <c r="N97" s="38"/>
      <c r="O97" s="38"/>
      <c r="P97" s="38"/>
      <c r="Q97" s="38"/>
      <c r="R97" s="38"/>
      <c r="S97" s="104"/>
      <c r="T97" s="105"/>
      <c r="U97" s="105"/>
      <c r="V97" s="38"/>
      <c r="W97" s="38"/>
      <c r="X97" s="106"/>
      <c r="Y97" s="106"/>
      <c r="Z97" s="106"/>
      <c r="AA97" s="106"/>
      <c r="AB97" s="106"/>
      <c r="AC97" s="107"/>
      <c r="AD97" s="107"/>
      <c r="AE97" s="107"/>
      <c r="AF97" s="107"/>
      <c r="AG97" s="107"/>
      <c r="AH97" s="72"/>
      <c r="AI97" s="72"/>
      <c r="AJ97" s="72"/>
      <c r="AK97" s="72"/>
      <c r="AL97" s="72"/>
      <c r="AM97" s="590">
        <f>S97*AH97</f>
        <v>0</v>
      </c>
      <c r="AN97" s="590">
        <f>T97*AI97</f>
        <v>0</v>
      </c>
      <c r="AO97" s="590">
        <f>U97*AJ97</f>
        <v>0</v>
      </c>
      <c r="AP97" s="590">
        <f>V97*AK97</f>
        <v>0</v>
      </c>
      <c r="AQ97" s="590">
        <f>W97*AL97</f>
        <v>0</v>
      </c>
      <c r="AR97" s="108"/>
      <c r="AS97" s="108">
        <f>SUM(AS2:AS37)</f>
        <v>129564</v>
      </c>
      <c r="AT97" s="108"/>
      <c r="AU97" s="198"/>
    </row>
    <row r="98" spans="1:47" ht="14.25" x14ac:dyDescent="0.25">
      <c r="A98" s="39"/>
      <c r="B98" s="39"/>
      <c r="C98" s="38"/>
      <c r="D98" s="67"/>
      <c r="E98" s="67"/>
      <c r="F98" s="188"/>
      <c r="H98" s="188"/>
      <c r="I98" s="188"/>
      <c r="J98" s="188"/>
      <c r="K98" s="74"/>
      <c r="L98" s="198">
        <f>+SUM(L2:L13)</f>
        <v>880</v>
      </c>
      <c r="M98" s="198"/>
      <c r="N98" s="91">
        <f>+SUM(N2:N44)</f>
        <v>2380</v>
      </c>
      <c r="O98" s="91">
        <f t="shared" ref="O98:R98" si="127">+SUM(O2:O44)</f>
        <v>3380</v>
      </c>
      <c r="P98" s="91">
        <f t="shared" si="127"/>
        <v>1130</v>
      </c>
      <c r="Q98" s="91">
        <f t="shared" si="127"/>
        <v>65</v>
      </c>
      <c r="R98" s="91">
        <f t="shared" si="127"/>
        <v>130</v>
      </c>
      <c r="S98" s="201">
        <f>+SUM(S2:S93)</f>
        <v>11141</v>
      </c>
      <c r="T98" s="201">
        <f>+SUM(T2:T93)</f>
        <v>17238.25</v>
      </c>
      <c r="U98" s="201">
        <f>+SUM(U2:U93)</f>
        <v>6600</v>
      </c>
      <c r="V98" s="201">
        <f>+SUM(V2:V93)</f>
        <v>275</v>
      </c>
      <c r="W98" s="201">
        <f>+SUM(W2:W93)</f>
        <v>450</v>
      </c>
      <c r="X98" s="38"/>
      <c r="Y98" s="38"/>
      <c r="Z98" s="38"/>
      <c r="AA98" s="38"/>
      <c r="AB98" s="38"/>
      <c r="AN98" s="97">
        <f>+SUM(AN2:AN96)</f>
        <v>48577388.5</v>
      </c>
      <c r="AO98" s="97">
        <f>+SUM(AO2:AO96)</f>
        <v>41547000</v>
      </c>
      <c r="AP98" s="97">
        <f>+SUM(AP2:AP96)</f>
        <v>5238750</v>
      </c>
      <c r="AQ98" s="97">
        <f>+SUM(AQ2:AQ96)</f>
        <v>9922500</v>
      </c>
      <c r="AR98" s="97">
        <f>+SUM(AR2:AR96)</f>
        <v>114532668.5</v>
      </c>
      <c r="AS98" s="97"/>
      <c r="AU98" s="198"/>
    </row>
    <row r="99" spans="1:47" x14ac:dyDescent="0.25">
      <c r="A99" s="39"/>
      <c r="B99" s="39"/>
      <c r="C99" s="38"/>
      <c r="D99" s="67"/>
      <c r="E99" s="67"/>
      <c r="F99" s="188"/>
      <c r="G99" s="188"/>
      <c r="H99" s="188"/>
      <c r="I99" s="188"/>
      <c r="J99" s="188"/>
      <c r="K99" s="74"/>
      <c r="L99" s="198">
        <f>+SUM(L2:L13)</f>
        <v>880</v>
      </c>
      <c r="M99" s="198"/>
      <c r="N99" s="38"/>
      <c r="O99" s="38"/>
      <c r="P99" s="91">
        <f>+MEDIAN(P2:P78)+2000</f>
        <v>2030</v>
      </c>
      <c r="Q99" s="38"/>
      <c r="R99" s="38"/>
      <c r="S99" s="68"/>
      <c r="T99" s="38"/>
      <c r="U99" s="38"/>
      <c r="V99" s="38"/>
      <c r="W99" s="38"/>
      <c r="X99" s="38"/>
      <c r="Y99" s="38"/>
      <c r="Z99" s="38"/>
      <c r="AA99" s="38"/>
      <c r="AB99" s="38"/>
      <c r="AS99">
        <f>+SUM(AS2:AS13)</f>
        <v>43188</v>
      </c>
      <c r="AU99" s="198"/>
    </row>
    <row r="100" spans="1:47" x14ac:dyDescent="0.25">
      <c r="A100" s="39"/>
      <c r="B100" s="39"/>
      <c r="C100" s="38"/>
      <c r="D100" s="67"/>
      <c r="E100" s="67"/>
      <c r="F100" s="188"/>
      <c r="G100" s="188"/>
      <c r="H100" s="188"/>
      <c r="I100" s="188"/>
      <c r="J100" s="188"/>
      <c r="K100" s="74"/>
      <c r="L100" s="190"/>
      <c r="M100" s="190"/>
      <c r="N100" s="38">
        <f>+N98*1.3</f>
        <v>3094</v>
      </c>
      <c r="O100" s="38">
        <f>+O98*1.325</f>
        <v>4478.5</v>
      </c>
      <c r="P100" s="38">
        <f>+P98*1.25</f>
        <v>1412.5</v>
      </c>
      <c r="Q100" s="38"/>
      <c r="R100" s="38"/>
      <c r="S100" s="68"/>
      <c r="T100" s="38"/>
      <c r="U100" s="38"/>
      <c r="V100" s="38"/>
      <c r="W100" s="38"/>
      <c r="X100" s="38"/>
      <c r="Y100" s="38"/>
      <c r="Z100" s="38"/>
      <c r="AA100" s="38"/>
      <c r="AB100" s="38"/>
      <c r="AR100" s="97">
        <f>+SUM(AR2:AR46)</f>
        <v>29990193</v>
      </c>
      <c r="AU100" s="190"/>
    </row>
    <row r="101" spans="1:47" x14ac:dyDescent="0.25">
      <c r="S101" s="86">
        <f>+SUM(S2:S82)</f>
        <v>7865</v>
      </c>
      <c r="T101" s="86">
        <f>+SUM(T2:T82)</f>
        <v>10812</v>
      </c>
      <c r="U101" s="86">
        <f>+SUM(U2:U82)</f>
        <v>4062.5</v>
      </c>
      <c r="V101" s="86">
        <f>+SUM(V2:V82)</f>
        <v>155</v>
      </c>
      <c r="W101" s="86">
        <f>+SUM(W2:W82)</f>
        <v>315</v>
      </c>
    </row>
    <row r="102" spans="1:47" x14ac:dyDescent="0.25">
      <c r="L102" s="1">
        <v>29757</v>
      </c>
    </row>
    <row r="103" spans="1:47" x14ac:dyDescent="0.25">
      <c r="L103" s="202">
        <f>+L99-L102</f>
        <v>-28877</v>
      </c>
      <c r="M103" s="202"/>
      <c r="T103">
        <v>1882</v>
      </c>
      <c r="AU103" s="202"/>
    </row>
    <row r="104" spans="1:47" x14ac:dyDescent="0.25">
      <c r="L104" s="1">
        <v>2860</v>
      </c>
      <c r="T104" s="86">
        <f>+SUM(T101:T103)</f>
        <v>12694</v>
      </c>
    </row>
    <row r="105" spans="1:47" x14ac:dyDescent="0.25">
      <c r="L105" s="202">
        <f>+L103-L104</f>
        <v>-31737</v>
      </c>
      <c r="M105" s="202"/>
      <c r="AU105" s="202"/>
    </row>
    <row r="106" spans="1:47" x14ac:dyDescent="0.25">
      <c r="A106" t="s">
        <v>197</v>
      </c>
      <c r="B106">
        <v>71</v>
      </c>
    </row>
    <row r="107" spans="1:47" x14ac:dyDescent="0.25">
      <c r="P107">
        <f>80*3</f>
        <v>240</v>
      </c>
    </row>
  </sheetData>
  <protectedRanges>
    <protectedRange sqref="K1:M1" name="Rango1_3_1_1_2_2"/>
  </protectedRanges>
  <phoneticPr fontId="14" type="noConversion"/>
  <conditionalFormatting sqref="N2:R96">
    <cfRule type="cellIs" dxfId="14" priority="1" operator="lessThan">
      <formula>0</formula>
    </cfRule>
  </conditionalFormatting>
  <conditionalFormatting sqref="N1:W1 AM2:AQ97 N96:W1048576">
    <cfRule type="cellIs" dxfId="13" priority="20" operator="lessThan">
      <formula>0</formula>
    </cfRule>
  </conditionalFormatting>
  <conditionalFormatting sqref="S2:W96">
    <cfRule type="cellIs" dxfId="12" priority="8" operator="lessThan">
      <formula>0</formula>
    </cfRule>
  </conditionalFormatting>
  <conditionalFormatting sqref="AR2:AR96">
    <cfRule type="cellIs" dxfId="11" priority="5" operator="lessThan">
      <formula>0</formula>
    </cfRule>
  </conditionalFormatting>
  <conditionalFormatting sqref="AS2:AS94">
    <cfRule type="cellIs" dxfId="10" priority="12" operator="lessThan">
      <formula>0</formula>
    </cfRule>
  </conditionalFormatting>
  <conditionalFormatting sqref="AT1:AT96">
    <cfRule type="cellIs" dxfId="9" priority="3" operator="greaterThan">
      <formula>5250</formula>
    </cfRule>
  </conditionalFormatting>
  <conditionalFormatting sqref="AT2:AT96">
    <cfRule type="cellIs" dxfId="8" priority="4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 codeName="Hoja4">
    <tabColor rgb="FF00B050"/>
  </sheetPr>
  <dimension ref="A1:BV108"/>
  <sheetViews>
    <sheetView topLeftCell="W4" zoomScale="82" zoomScaleNormal="55" workbookViewId="0">
      <selection activeCell="AC25" sqref="AC25"/>
    </sheetView>
  </sheetViews>
  <sheetFormatPr baseColWidth="10" defaultRowHeight="15" x14ac:dyDescent="0.25"/>
  <cols>
    <col min="1" max="25" width="21" style="98" customWidth="1"/>
    <col min="26" max="26" width="30.5703125" style="98" customWidth="1"/>
    <col min="27" max="28" width="19.42578125" style="98" customWidth="1"/>
    <col min="29" max="29" width="29.85546875" style="98" customWidth="1"/>
    <col min="30" max="30" width="25.42578125" style="98" customWidth="1"/>
    <col min="31" max="31" width="19.42578125" style="98" customWidth="1"/>
    <col min="32" max="32" width="21" style="98" customWidth="1"/>
    <col min="33" max="33" width="11.42578125" customWidth="1"/>
    <col min="34" max="34" width="30.85546875" customWidth="1"/>
    <col min="35" max="35" width="11.42578125" style="99"/>
    <col min="36" max="36" width="17.140625" style="100" bestFit="1" customWidth="1"/>
    <col min="37" max="37" width="42.85546875" style="100" bestFit="1" customWidth="1"/>
    <col min="38" max="38" width="23.28515625" style="101" bestFit="1" customWidth="1"/>
    <col min="39" max="39" width="21" style="101" bestFit="1" customWidth="1"/>
    <col min="40" max="40" width="14.42578125" style="101" bestFit="1" customWidth="1"/>
    <col min="41" max="41" width="11.5703125" style="101" customWidth="1"/>
    <col min="42" max="42" width="17.140625" style="101" bestFit="1" customWidth="1"/>
    <col min="43" max="43" width="40.7109375" style="101" bestFit="1" customWidth="1"/>
    <col min="44" max="44" width="31.7109375" style="101" bestFit="1" customWidth="1"/>
    <col min="45" max="45" width="12.5703125" style="101" customWidth="1"/>
    <col min="46" max="46" width="16.7109375" bestFit="1" customWidth="1"/>
    <col min="47" max="47" width="24.28515625" bestFit="1" customWidth="1"/>
    <col min="48" max="48" width="18.5703125" bestFit="1" customWidth="1"/>
    <col min="49" max="49" width="29" style="164" customWidth="1"/>
    <col min="50" max="50" width="12.85546875" style="99" bestFit="1" customWidth="1"/>
    <col min="51" max="51" width="24.85546875" style="99" bestFit="1" customWidth="1"/>
    <col min="52" max="52" width="40.140625" style="99" bestFit="1" customWidth="1"/>
    <col min="53" max="53" width="32" style="99" bestFit="1" customWidth="1"/>
    <col min="55" max="55" width="24.85546875" bestFit="1" customWidth="1"/>
    <col min="56" max="56" width="40.140625" bestFit="1" customWidth="1"/>
    <col min="57" max="57" width="32" bestFit="1" customWidth="1"/>
    <col min="58" max="58" width="23.42578125" bestFit="1" customWidth="1"/>
    <col min="60" max="60" width="17.140625" bestFit="1" customWidth="1"/>
    <col min="61" max="61" width="40.7109375" bestFit="1" customWidth="1"/>
    <col min="62" max="62" width="29.42578125" bestFit="1" customWidth="1"/>
    <col min="63" max="63" width="38.7109375" bestFit="1" customWidth="1"/>
    <col min="65" max="65" width="16.42578125" bestFit="1" customWidth="1"/>
    <col min="66" max="66" width="19.85546875" bestFit="1" customWidth="1"/>
    <col min="67" max="67" width="14.42578125" bestFit="1" customWidth="1"/>
    <col min="68" max="68" width="15.140625" bestFit="1" customWidth="1"/>
    <col min="69" max="69" width="19.140625" bestFit="1" customWidth="1"/>
    <col min="70" max="70" width="17.5703125" bestFit="1" customWidth="1"/>
    <col min="71" max="72" width="19.85546875" bestFit="1" customWidth="1"/>
  </cols>
  <sheetData>
    <row r="1" spans="1:74" ht="28.5" customHeight="1" x14ac:dyDescent="0.25">
      <c r="A1" s="678" t="s">
        <v>114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678"/>
      <c r="U1" s="678"/>
      <c r="V1" s="678"/>
      <c r="W1" s="678"/>
      <c r="X1" s="678"/>
      <c r="Y1" s="678"/>
      <c r="Z1" s="678"/>
      <c r="AA1" s="678"/>
      <c r="AB1" s="678"/>
      <c r="AC1" s="678"/>
      <c r="AD1" s="678"/>
      <c r="AE1" s="678"/>
      <c r="AF1" s="678"/>
      <c r="AG1" s="99"/>
      <c r="AH1" s="99"/>
      <c r="AJ1" s="677" t="s">
        <v>173</v>
      </c>
      <c r="AK1" s="677"/>
      <c r="AL1" s="677"/>
      <c r="AM1" s="677"/>
      <c r="AN1" s="99"/>
      <c r="AO1" s="99"/>
      <c r="AP1" s="99"/>
      <c r="AQ1" s="99"/>
      <c r="AR1" s="99"/>
      <c r="AS1" s="99"/>
      <c r="AT1" s="677" t="s">
        <v>174</v>
      </c>
      <c r="AU1" s="677"/>
      <c r="AV1" s="677"/>
      <c r="AW1" s="677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</row>
    <row r="2" spans="1:74" ht="25.9" x14ac:dyDescent="0.45">
      <c r="A2" s="165" t="s">
        <v>121</v>
      </c>
      <c r="B2" s="102" t="s">
        <v>117</v>
      </c>
      <c r="AG2" s="99"/>
      <c r="AH2" s="99"/>
      <c r="AS2" s="99"/>
      <c r="AT2" s="100"/>
      <c r="AU2" s="100"/>
      <c r="AV2" s="101"/>
      <c r="AW2" s="101"/>
      <c r="AX2" s="99" t="s">
        <v>175</v>
      </c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</row>
    <row r="3" spans="1:74" ht="21.2" x14ac:dyDescent="0.25">
      <c r="B3" s="679"/>
      <c r="C3" s="679"/>
      <c r="AG3" s="99"/>
      <c r="AH3" s="99"/>
      <c r="AS3" s="99"/>
      <c r="AT3" s="100"/>
      <c r="AU3" s="100"/>
      <c r="AV3" s="101"/>
      <c r="AW3" s="101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</row>
    <row r="4" spans="1:74" ht="21" x14ac:dyDescent="0.25">
      <c r="Z4" s="102" t="s">
        <v>118</v>
      </c>
      <c r="AA4" s="102"/>
      <c r="AG4" s="99"/>
      <c r="AH4" s="99"/>
      <c r="AJ4" s="386" t="s">
        <v>79</v>
      </c>
      <c r="AK4" s="421" t="s">
        <v>115</v>
      </c>
      <c r="AL4" s="421" t="s">
        <v>116</v>
      </c>
      <c r="AM4" s="422" t="s">
        <v>361</v>
      </c>
      <c r="AN4"/>
      <c r="AP4" s="386" t="s">
        <v>79</v>
      </c>
      <c r="AQ4" s="258" t="s">
        <v>326</v>
      </c>
      <c r="AR4" s="270" t="s">
        <v>360</v>
      </c>
      <c r="AS4" s="99"/>
      <c r="AT4" s="297" t="s">
        <v>172</v>
      </c>
      <c r="AU4" t="s">
        <v>169</v>
      </c>
      <c r="AV4" t="s">
        <v>170</v>
      </c>
      <c r="AW4" t="s">
        <v>171</v>
      </c>
      <c r="AY4" s="238" t="s">
        <v>333</v>
      </c>
      <c r="AZ4" t="s">
        <v>331</v>
      </c>
      <c r="BA4" t="s">
        <v>332</v>
      </c>
      <c r="BB4" s="99"/>
      <c r="BC4" s="238" t="s">
        <v>333</v>
      </c>
      <c r="BD4" t="s">
        <v>331</v>
      </c>
      <c r="BE4" t="s">
        <v>332</v>
      </c>
      <c r="BF4" t="s">
        <v>337</v>
      </c>
      <c r="BG4" s="99"/>
      <c r="BH4" s="114" t="s">
        <v>79</v>
      </c>
      <c r="BI4" s="258" t="s">
        <v>326</v>
      </c>
      <c r="BJ4" s="270" t="s">
        <v>338</v>
      </c>
      <c r="BL4" s="99"/>
      <c r="BU4" s="99"/>
      <c r="BV4" s="99"/>
    </row>
    <row r="5" spans="1:74" ht="14.25" x14ac:dyDescent="0.25">
      <c r="AG5" s="99"/>
      <c r="AH5" s="99"/>
      <c r="AJ5" s="434">
        <v>1</v>
      </c>
      <c r="AK5" s="435">
        <v>0</v>
      </c>
      <c r="AL5" s="435">
        <v>0</v>
      </c>
      <c r="AM5" s="430">
        <v>3599</v>
      </c>
      <c r="AN5"/>
      <c r="AP5" s="434">
        <v>1</v>
      </c>
      <c r="AQ5" s="435">
        <v>0</v>
      </c>
      <c r="AR5" s="435">
        <v>0</v>
      </c>
      <c r="AS5" s="99"/>
      <c r="AT5" s="428">
        <v>1</v>
      </c>
      <c r="AU5">
        <v>0</v>
      </c>
      <c r="AV5" s="429">
        <v>1000</v>
      </c>
      <c r="AW5" s="73">
        <v>0</v>
      </c>
      <c r="AY5" s="428">
        <v>1</v>
      </c>
      <c r="AZ5">
        <v>0</v>
      </c>
      <c r="BA5" s="257" t="e">
        <v>#DIV/0!</v>
      </c>
      <c r="BB5" s="99"/>
      <c r="BC5" s="428">
        <v>1</v>
      </c>
      <c r="BD5">
        <v>0</v>
      </c>
      <c r="BE5" s="257" t="e">
        <v>#DIV/0!</v>
      </c>
      <c r="BF5" s="173">
        <v>0</v>
      </c>
      <c r="BG5" s="99"/>
      <c r="BH5" s="434">
        <v>1</v>
      </c>
      <c r="BI5" s="435">
        <v>0</v>
      </c>
      <c r="BJ5" s="670">
        <v>0</v>
      </c>
      <c r="BL5" s="99"/>
      <c r="BU5" s="99"/>
      <c r="BV5" s="99"/>
    </row>
    <row r="6" spans="1:74" ht="22.5" x14ac:dyDescent="0.25">
      <c r="Z6" s="676" t="s">
        <v>329</v>
      </c>
      <c r="AA6" s="676"/>
      <c r="AB6" s="676"/>
      <c r="AC6" s="676"/>
      <c r="AD6" s="676"/>
      <c r="AG6" s="99"/>
      <c r="AH6" s="99"/>
      <c r="AJ6" s="434">
        <v>2</v>
      </c>
      <c r="AK6" s="435">
        <v>880</v>
      </c>
      <c r="AL6" s="435">
        <v>2001.6698863636364</v>
      </c>
      <c r="AM6" s="430">
        <v>3599</v>
      </c>
      <c r="AN6"/>
      <c r="AP6" s="434">
        <v>2</v>
      </c>
      <c r="AQ6" s="435">
        <v>880</v>
      </c>
      <c r="AR6" s="435">
        <v>11</v>
      </c>
      <c r="AS6" s="99"/>
      <c r="AT6" s="428">
        <v>2</v>
      </c>
      <c r="AU6">
        <v>0</v>
      </c>
      <c r="AV6" s="429">
        <v>1000</v>
      </c>
      <c r="AW6" s="73">
        <v>0</v>
      </c>
      <c r="AY6" s="428">
        <v>2</v>
      </c>
      <c r="AZ6">
        <v>0</v>
      </c>
      <c r="BA6" s="257" t="e">
        <v>#DIV/0!</v>
      </c>
      <c r="BB6" s="99"/>
      <c r="BC6" s="428">
        <v>2</v>
      </c>
      <c r="BD6">
        <v>0</v>
      </c>
      <c r="BE6" s="257" t="e">
        <v>#DIV/0!</v>
      </c>
      <c r="BF6" s="173">
        <v>0</v>
      </c>
      <c r="BG6" s="99"/>
      <c r="BH6" s="434">
        <v>2</v>
      </c>
      <c r="BI6" s="435">
        <v>880</v>
      </c>
      <c r="BJ6" s="435">
        <v>1761469.5</v>
      </c>
      <c r="BL6" s="99"/>
      <c r="BU6" s="99"/>
      <c r="BV6" s="99"/>
    </row>
    <row r="7" spans="1:74" ht="38.1" x14ac:dyDescent="0.25">
      <c r="Z7" s="254" t="s">
        <v>328</v>
      </c>
      <c r="AA7" s="254" t="s">
        <v>119</v>
      </c>
      <c r="AB7" s="254" t="s">
        <v>327</v>
      </c>
      <c r="AC7" s="254" t="s">
        <v>336</v>
      </c>
      <c r="AD7" s="254" t="s">
        <v>315</v>
      </c>
      <c r="AG7" s="99"/>
      <c r="AH7" s="99"/>
      <c r="AJ7" s="434">
        <v>3</v>
      </c>
      <c r="AK7" s="435">
        <v>0</v>
      </c>
      <c r="AL7" s="435">
        <v>0</v>
      </c>
      <c r="AM7" s="430">
        <v>3599</v>
      </c>
      <c r="AN7"/>
      <c r="AP7" s="434">
        <v>3</v>
      </c>
      <c r="AQ7" s="435">
        <v>0</v>
      </c>
      <c r="AR7" s="435">
        <v>0</v>
      </c>
      <c r="AS7" s="99"/>
      <c r="AT7" s="428">
        <v>3</v>
      </c>
      <c r="AU7">
        <v>0</v>
      </c>
      <c r="AV7" s="429">
        <v>1000</v>
      </c>
      <c r="AW7" s="73">
        <v>0</v>
      </c>
      <c r="AY7" s="428">
        <v>3</v>
      </c>
      <c r="AZ7">
        <v>0</v>
      </c>
      <c r="BA7" s="257" t="e">
        <v>#DIV/0!</v>
      </c>
      <c r="BB7" s="99"/>
      <c r="BC7" s="428">
        <v>3</v>
      </c>
      <c r="BD7">
        <v>0</v>
      </c>
      <c r="BE7" s="257" t="e">
        <v>#DIV/0!</v>
      </c>
      <c r="BF7" s="173">
        <v>0</v>
      </c>
      <c r="BG7" s="99"/>
      <c r="BH7" s="434">
        <v>3</v>
      </c>
      <c r="BI7" s="435">
        <v>0</v>
      </c>
      <c r="BJ7" s="435">
        <v>0</v>
      </c>
      <c r="BL7" s="99"/>
      <c r="BU7" s="99"/>
      <c r="BV7" s="99"/>
    </row>
    <row r="8" spans="1:74" ht="22.5" x14ac:dyDescent="0.4">
      <c r="Z8" s="109">
        <f>GETPIVOTDATA("  CAUDAL TOTAL TRATADO GEM ",$AJ$4)</f>
        <v>32414</v>
      </c>
      <c r="AA8" s="110">
        <f>AD8/Z8</f>
        <v>2659.3038656136237</v>
      </c>
      <c r="AB8" s="109">
        <f>Z8/80</f>
        <v>405.17500000000001</v>
      </c>
      <c r="AC8" s="255">
        <f>AD8/AB8</f>
        <v>212744.30924908989</v>
      </c>
      <c r="AD8" s="110">
        <f>GETPIVOTDATA("COSTO QUIMICA  GEM",$BH$4)</f>
        <v>86198675.5</v>
      </c>
      <c r="AG8" s="99"/>
      <c r="AH8" s="99"/>
      <c r="AJ8" s="434">
        <v>4</v>
      </c>
      <c r="AK8" s="435">
        <v>0</v>
      </c>
      <c r="AL8" s="435">
        <v>0</v>
      </c>
      <c r="AM8" s="430">
        <v>3599</v>
      </c>
      <c r="AN8"/>
      <c r="AP8" s="434">
        <v>4</v>
      </c>
      <c r="AQ8" s="435">
        <v>0</v>
      </c>
      <c r="AR8" s="435">
        <v>0</v>
      </c>
      <c r="AS8" s="99"/>
      <c r="AT8" s="428">
        <v>4</v>
      </c>
      <c r="AU8">
        <v>0</v>
      </c>
      <c r="AV8" s="429">
        <v>1000</v>
      </c>
      <c r="AW8" s="73">
        <v>0</v>
      </c>
      <c r="AY8" s="428">
        <v>4</v>
      </c>
      <c r="AZ8">
        <v>0</v>
      </c>
      <c r="BA8" s="257" t="e">
        <v>#DIV/0!</v>
      </c>
      <c r="BB8" s="99"/>
      <c r="BC8" s="428">
        <v>4</v>
      </c>
      <c r="BD8">
        <v>0</v>
      </c>
      <c r="BE8" s="257" t="e">
        <v>#DIV/0!</v>
      </c>
      <c r="BF8" s="173">
        <v>0</v>
      </c>
      <c r="BG8" s="99"/>
      <c r="BH8" s="434">
        <v>4</v>
      </c>
      <c r="BI8" s="435">
        <v>0</v>
      </c>
      <c r="BJ8" s="435">
        <v>0</v>
      </c>
      <c r="BL8" s="99"/>
      <c r="BU8" s="99"/>
      <c r="BV8" s="99"/>
    </row>
    <row r="9" spans="1:74" ht="14.25" x14ac:dyDescent="0.25">
      <c r="AG9" s="99"/>
      <c r="AH9" s="99"/>
      <c r="AJ9" s="434">
        <v>5</v>
      </c>
      <c r="AK9" s="435">
        <v>0</v>
      </c>
      <c r="AL9" s="435">
        <v>0</v>
      </c>
      <c r="AM9" s="430">
        <v>3599</v>
      </c>
      <c r="AN9"/>
      <c r="AP9" s="434">
        <v>5</v>
      </c>
      <c r="AQ9" s="435">
        <v>0</v>
      </c>
      <c r="AR9" s="435">
        <v>0</v>
      </c>
      <c r="AS9" s="99"/>
      <c r="AT9" s="428">
        <v>5</v>
      </c>
      <c r="AU9">
        <v>0</v>
      </c>
      <c r="AV9" s="429">
        <v>1000</v>
      </c>
      <c r="AW9" s="73">
        <v>0</v>
      </c>
      <c r="AY9" s="428">
        <v>5</v>
      </c>
      <c r="AZ9">
        <v>0</v>
      </c>
      <c r="BA9" s="257" t="e">
        <v>#DIV/0!</v>
      </c>
      <c r="BB9" s="99"/>
      <c r="BC9" s="428">
        <v>5</v>
      </c>
      <c r="BD9">
        <v>0</v>
      </c>
      <c r="BE9" s="257" t="e">
        <v>#DIV/0!</v>
      </c>
      <c r="BF9" s="173">
        <v>0</v>
      </c>
      <c r="BG9" s="99"/>
      <c r="BH9" s="434">
        <v>5</v>
      </c>
      <c r="BI9" s="435">
        <v>0</v>
      </c>
      <c r="BJ9" s="435">
        <v>0</v>
      </c>
      <c r="BL9" s="99"/>
      <c r="BU9" s="99"/>
      <c r="BV9" s="99"/>
    </row>
    <row r="10" spans="1:74" ht="14.25" x14ac:dyDescent="0.25">
      <c r="AG10" s="99"/>
      <c r="AH10" s="99"/>
      <c r="AJ10" s="434">
        <v>6</v>
      </c>
      <c r="AK10" s="435">
        <v>1040</v>
      </c>
      <c r="AL10" s="435">
        <v>2638.6711538461536</v>
      </c>
      <c r="AM10" s="430">
        <v>3599</v>
      </c>
      <c r="AN10"/>
      <c r="AP10" s="434">
        <v>6</v>
      </c>
      <c r="AQ10" s="435">
        <v>1040</v>
      </c>
      <c r="AR10" s="435">
        <v>13</v>
      </c>
      <c r="AS10" s="99"/>
      <c r="AT10" s="428">
        <v>6</v>
      </c>
      <c r="AU10">
        <v>388.57399999999996</v>
      </c>
      <c r="AV10" s="429">
        <v>1000</v>
      </c>
      <c r="AW10" s="73">
        <v>105.00000000000003</v>
      </c>
      <c r="AY10" s="428">
        <v>6</v>
      </c>
      <c r="AZ10">
        <v>388.57399999999996</v>
      </c>
      <c r="BA10" s="257">
        <v>9.3115389082462254</v>
      </c>
      <c r="BB10" s="99"/>
      <c r="BC10" s="428">
        <v>6</v>
      </c>
      <c r="BD10">
        <v>388.57399999999996</v>
      </c>
      <c r="BE10" s="257">
        <v>9.3115389082462254</v>
      </c>
      <c r="BF10" s="173">
        <v>40800.270000000004</v>
      </c>
      <c r="BG10" s="99"/>
      <c r="BH10" s="434">
        <v>6</v>
      </c>
      <c r="BI10" s="435">
        <v>1040</v>
      </c>
      <c r="BJ10" s="435">
        <v>2744218</v>
      </c>
      <c r="BL10" s="99"/>
      <c r="BU10" s="99"/>
      <c r="BV10" s="99"/>
    </row>
    <row r="11" spans="1:74" ht="14.25" x14ac:dyDescent="0.25">
      <c r="AG11" s="99"/>
      <c r="AH11" s="99"/>
      <c r="AJ11" s="434">
        <v>7</v>
      </c>
      <c r="AK11" s="435">
        <v>1079</v>
      </c>
      <c r="AL11" s="435">
        <v>2771.1464318813714</v>
      </c>
      <c r="AM11" s="430">
        <v>3599</v>
      </c>
      <c r="AN11"/>
      <c r="AP11" s="434">
        <v>7</v>
      </c>
      <c r="AQ11" s="435">
        <v>1079</v>
      </c>
      <c r="AR11" s="435">
        <v>13</v>
      </c>
      <c r="AS11" s="99"/>
      <c r="AT11" s="428">
        <v>7</v>
      </c>
      <c r="AU11">
        <v>983.59799999999996</v>
      </c>
      <c r="AV11" s="429">
        <v>1000</v>
      </c>
      <c r="AW11" s="73">
        <v>105.00000000000001</v>
      </c>
      <c r="AY11" s="428">
        <v>7</v>
      </c>
      <c r="AZ11">
        <v>983.59799999999996</v>
      </c>
      <c r="BA11" s="257">
        <v>24.578780550343964</v>
      </c>
      <c r="BB11" s="99"/>
      <c r="BC11" s="428">
        <v>7</v>
      </c>
      <c r="BD11">
        <v>983.59799999999996</v>
      </c>
      <c r="BE11" s="257">
        <v>24.578780550343964</v>
      </c>
      <c r="BF11" s="173">
        <v>103277.79000000001</v>
      </c>
      <c r="BG11" s="99"/>
      <c r="BH11" s="434">
        <v>7</v>
      </c>
      <c r="BI11" s="435">
        <v>1079</v>
      </c>
      <c r="BJ11" s="435">
        <v>2990067</v>
      </c>
      <c r="BL11" s="99"/>
      <c r="BU11" s="99"/>
      <c r="BV11" s="99"/>
    </row>
    <row r="12" spans="1:74" ht="14.25" x14ac:dyDescent="0.25">
      <c r="AG12" s="99"/>
      <c r="AH12" s="99"/>
      <c r="AJ12" s="434">
        <v>8</v>
      </c>
      <c r="AK12" s="435">
        <v>1200</v>
      </c>
      <c r="AL12" s="435">
        <v>2309.4699999999998</v>
      </c>
      <c r="AM12" s="430">
        <v>3599</v>
      </c>
      <c r="AN12"/>
      <c r="AP12" s="434">
        <v>8</v>
      </c>
      <c r="AQ12" s="435">
        <v>1200</v>
      </c>
      <c r="AR12" s="435">
        <v>15</v>
      </c>
      <c r="AS12" s="99"/>
      <c r="AT12" s="428">
        <v>8</v>
      </c>
      <c r="AU12">
        <v>892.84300000000007</v>
      </c>
      <c r="AV12" s="429">
        <v>1000</v>
      </c>
      <c r="AW12" s="73">
        <v>105</v>
      </c>
      <c r="AY12" s="428">
        <v>8</v>
      </c>
      <c r="AZ12">
        <v>892.84300000000007</v>
      </c>
      <c r="BA12" s="257">
        <v>23.008721413721414</v>
      </c>
      <c r="BB12" s="99"/>
      <c r="BC12" s="428">
        <v>8</v>
      </c>
      <c r="BD12">
        <v>892.84300000000007</v>
      </c>
      <c r="BE12" s="257">
        <v>23.008721413721414</v>
      </c>
      <c r="BF12" s="173">
        <v>93748.515000000014</v>
      </c>
      <c r="BG12" s="99"/>
      <c r="BH12" s="434">
        <v>8</v>
      </c>
      <c r="BI12" s="435">
        <v>1200</v>
      </c>
      <c r="BJ12" s="435">
        <v>2771364</v>
      </c>
      <c r="BL12" s="99"/>
      <c r="BU12" s="99"/>
      <c r="BV12" s="99"/>
    </row>
    <row r="13" spans="1:74" ht="14.25" x14ac:dyDescent="0.25">
      <c r="AG13" s="99"/>
      <c r="AH13" s="99"/>
      <c r="AJ13" s="434">
        <v>9</v>
      </c>
      <c r="AK13" s="435">
        <v>1280</v>
      </c>
      <c r="AL13" s="435">
        <v>1812.61015625</v>
      </c>
      <c r="AM13" s="430">
        <v>3599</v>
      </c>
      <c r="AN13"/>
      <c r="AP13" s="434">
        <v>9</v>
      </c>
      <c r="AQ13" s="435">
        <v>1280</v>
      </c>
      <c r="AR13" s="435">
        <v>16</v>
      </c>
      <c r="AS13" s="99"/>
      <c r="AT13" s="428">
        <v>9</v>
      </c>
      <c r="AU13">
        <v>825.06600000000003</v>
      </c>
      <c r="AV13" s="429">
        <v>1000</v>
      </c>
      <c r="AW13" s="73">
        <v>104.99999999999999</v>
      </c>
      <c r="AY13" s="428">
        <v>9</v>
      </c>
      <c r="AZ13">
        <v>825.06600000000003</v>
      </c>
      <c r="BA13" s="257">
        <v>20.789155769230771</v>
      </c>
      <c r="BB13" s="99"/>
      <c r="BC13" s="428">
        <v>9</v>
      </c>
      <c r="BD13">
        <v>825.06600000000003</v>
      </c>
      <c r="BE13" s="257">
        <v>20.789155769230771</v>
      </c>
      <c r="BF13" s="173">
        <v>86631.93</v>
      </c>
      <c r="BG13" s="99"/>
      <c r="BH13" s="434">
        <v>9</v>
      </c>
      <c r="BI13" s="435">
        <v>1280</v>
      </c>
      <c r="BJ13" s="435">
        <v>2320141</v>
      </c>
      <c r="BL13" s="99"/>
      <c r="BU13" s="99"/>
      <c r="BV13" s="99"/>
    </row>
    <row r="14" spans="1:74" ht="14.25" x14ac:dyDescent="0.25">
      <c r="AG14" s="99"/>
      <c r="AH14" s="99"/>
      <c r="AJ14" s="434">
        <v>10</v>
      </c>
      <c r="AK14" s="435">
        <v>1520</v>
      </c>
      <c r="AL14" s="435">
        <v>2241.3763157894737</v>
      </c>
      <c r="AM14" s="430">
        <v>3599</v>
      </c>
      <c r="AN14"/>
      <c r="AP14" s="434">
        <v>10</v>
      </c>
      <c r="AQ14" s="435">
        <v>1520</v>
      </c>
      <c r="AR14" s="435">
        <v>19</v>
      </c>
      <c r="AS14" s="99"/>
      <c r="AT14" s="428">
        <v>10</v>
      </c>
      <c r="AU14">
        <v>863.92000000000007</v>
      </c>
      <c r="AV14" s="429">
        <v>1000</v>
      </c>
      <c r="AW14" s="73">
        <v>104.99999999999999</v>
      </c>
      <c r="AY14" s="428">
        <v>10</v>
      </c>
      <c r="AZ14">
        <v>863.92000000000007</v>
      </c>
      <c r="BA14" s="257">
        <v>22.35182253711201</v>
      </c>
      <c r="BB14" s="99"/>
      <c r="BC14" s="428">
        <v>10</v>
      </c>
      <c r="BD14">
        <v>863.92000000000007</v>
      </c>
      <c r="BE14" s="257">
        <v>22.35182253711201</v>
      </c>
      <c r="BF14" s="173">
        <v>90711.599999999991</v>
      </c>
      <c r="BG14" s="99"/>
      <c r="BH14" s="434">
        <v>10</v>
      </c>
      <c r="BI14" s="435">
        <v>1520</v>
      </c>
      <c r="BJ14" s="435">
        <v>3406892</v>
      </c>
      <c r="BL14" s="99"/>
      <c r="BU14" s="99"/>
      <c r="BV14" s="99"/>
    </row>
    <row r="15" spans="1:74" ht="14.25" x14ac:dyDescent="0.25">
      <c r="AG15" s="99"/>
      <c r="AH15" s="99"/>
      <c r="AJ15" s="434">
        <v>11</v>
      </c>
      <c r="AK15" s="435">
        <v>1040</v>
      </c>
      <c r="AL15" s="435">
        <v>3164.7182692307692</v>
      </c>
      <c r="AM15" s="430">
        <v>3599</v>
      </c>
      <c r="AN15"/>
      <c r="AP15" s="434">
        <v>11</v>
      </c>
      <c r="AQ15" s="435">
        <v>1040</v>
      </c>
      <c r="AR15" s="435">
        <v>13</v>
      </c>
      <c r="AS15" s="99"/>
      <c r="AT15" s="428">
        <v>11</v>
      </c>
      <c r="AU15">
        <v>404.33300000000003</v>
      </c>
      <c r="AV15" s="429">
        <v>1000</v>
      </c>
      <c r="AW15" s="73">
        <v>105</v>
      </c>
      <c r="AY15" s="428">
        <v>11</v>
      </c>
      <c r="AZ15">
        <v>404.33300000000003</v>
      </c>
      <c r="BA15" s="257">
        <v>10.939227554179567</v>
      </c>
      <c r="BB15" s="99"/>
      <c r="BC15" s="428">
        <v>11</v>
      </c>
      <c r="BD15">
        <v>404.33300000000003</v>
      </c>
      <c r="BE15" s="257">
        <v>10.939227554179567</v>
      </c>
      <c r="BF15" s="173">
        <v>42454.965000000004</v>
      </c>
      <c r="BG15" s="99"/>
      <c r="BH15" s="610">
        <v>11</v>
      </c>
      <c r="BI15" s="435">
        <v>1040</v>
      </c>
      <c r="BJ15" s="435">
        <v>3291307</v>
      </c>
      <c r="BL15" s="99"/>
      <c r="BU15" s="99"/>
      <c r="BV15" s="99"/>
    </row>
    <row r="16" spans="1:74" ht="14.25" x14ac:dyDescent="0.25">
      <c r="AG16" s="99"/>
      <c r="AH16" s="99"/>
      <c r="AJ16" s="434">
        <v>12</v>
      </c>
      <c r="AK16" s="435">
        <v>0</v>
      </c>
      <c r="AL16" s="435">
        <v>0</v>
      </c>
      <c r="AM16" s="430">
        <v>3599</v>
      </c>
      <c r="AN16"/>
      <c r="AP16" s="434">
        <v>12</v>
      </c>
      <c r="AQ16" s="435">
        <v>0</v>
      </c>
      <c r="AR16" s="435">
        <v>0</v>
      </c>
      <c r="AS16" s="99"/>
      <c r="AT16" s="428">
        <v>12</v>
      </c>
      <c r="AU16">
        <v>0</v>
      </c>
      <c r="AV16" s="429">
        <v>1000</v>
      </c>
      <c r="AW16" s="73">
        <v>0</v>
      </c>
      <c r="AY16" s="428">
        <v>12</v>
      </c>
      <c r="AZ16">
        <v>0</v>
      </c>
      <c r="BA16" s="257">
        <v>0</v>
      </c>
      <c r="BB16" s="99"/>
      <c r="BC16" s="428">
        <v>12</v>
      </c>
      <c r="BD16">
        <v>0</v>
      </c>
      <c r="BE16" s="257">
        <v>0</v>
      </c>
      <c r="BF16" s="173">
        <v>0</v>
      </c>
      <c r="BG16" s="99"/>
      <c r="BH16" s="434">
        <v>12</v>
      </c>
      <c r="BI16" s="435">
        <v>0</v>
      </c>
      <c r="BJ16" s="435">
        <v>0</v>
      </c>
      <c r="BL16" s="99"/>
      <c r="BU16" s="99"/>
      <c r="BV16" s="99"/>
    </row>
    <row r="17" spans="1:74" ht="14.25" x14ac:dyDescent="0.25">
      <c r="AG17" s="99"/>
      <c r="AH17" s="99"/>
      <c r="AJ17" s="434">
        <v>13</v>
      </c>
      <c r="AK17" s="435">
        <v>1360</v>
      </c>
      <c r="AL17" s="435">
        <v>2363.5055147058824</v>
      </c>
      <c r="AM17" s="430">
        <v>3599</v>
      </c>
      <c r="AN17"/>
      <c r="AP17" s="434">
        <v>13</v>
      </c>
      <c r="AQ17" s="435">
        <v>1360</v>
      </c>
      <c r="AR17" s="435">
        <v>17</v>
      </c>
      <c r="AS17" s="99"/>
      <c r="AT17" s="428">
        <v>13</v>
      </c>
      <c r="AU17">
        <v>402.16300000000001</v>
      </c>
      <c r="AV17" s="429">
        <v>1000</v>
      </c>
      <c r="AW17" s="73">
        <v>105.00000000000001</v>
      </c>
      <c r="AY17" s="428">
        <v>13</v>
      </c>
      <c r="AZ17">
        <v>402.16300000000001</v>
      </c>
      <c r="BA17" s="257">
        <v>9.8088536585365862</v>
      </c>
      <c r="BB17" s="99"/>
      <c r="BC17" s="428">
        <v>13</v>
      </c>
      <c r="BD17">
        <v>402.16300000000001</v>
      </c>
      <c r="BE17" s="257">
        <v>9.8088536585365862</v>
      </c>
      <c r="BF17" s="173">
        <v>42227.115000000005</v>
      </c>
      <c r="BG17" s="99"/>
      <c r="BH17" s="434">
        <v>13</v>
      </c>
      <c r="BI17" s="435">
        <v>1360</v>
      </c>
      <c r="BJ17" s="435">
        <v>3214367.5</v>
      </c>
      <c r="BL17" s="99"/>
      <c r="BU17" s="99"/>
      <c r="BV17" s="99"/>
    </row>
    <row r="18" spans="1:74" ht="14.25" x14ac:dyDescent="0.25">
      <c r="AG18" s="99"/>
      <c r="AH18" s="99"/>
      <c r="AJ18" s="434">
        <v>14</v>
      </c>
      <c r="AK18" s="435">
        <v>1280</v>
      </c>
      <c r="AL18" s="435">
        <v>3136.7925781250001</v>
      </c>
      <c r="AM18" s="430">
        <v>3599</v>
      </c>
      <c r="AN18"/>
      <c r="AO18" s="99"/>
      <c r="AP18" s="434">
        <v>14</v>
      </c>
      <c r="AQ18" s="435">
        <v>1280</v>
      </c>
      <c r="AR18" s="435">
        <v>16</v>
      </c>
      <c r="AS18" s="99"/>
      <c r="AT18" s="428">
        <v>14</v>
      </c>
      <c r="AU18">
        <v>897.92100000000005</v>
      </c>
      <c r="AV18" s="429">
        <v>1000</v>
      </c>
      <c r="AW18" s="73">
        <v>105</v>
      </c>
      <c r="AY18" s="428">
        <v>14</v>
      </c>
      <c r="AZ18">
        <v>897.92100000000005</v>
      </c>
      <c r="BA18" s="257">
        <v>22.136169806251306</v>
      </c>
      <c r="BB18" s="99"/>
      <c r="BC18" s="428">
        <v>14</v>
      </c>
      <c r="BD18">
        <v>897.92100000000005</v>
      </c>
      <c r="BE18" s="257">
        <v>22.136169806251306</v>
      </c>
      <c r="BF18" s="173">
        <v>94281.705000000002</v>
      </c>
      <c r="BG18" s="99"/>
      <c r="BH18" s="434">
        <v>14</v>
      </c>
      <c r="BI18" s="435">
        <v>1280</v>
      </c>
      <c r="BJ18" s="435">
        <v>4015094.5</v>
      </c>
      <c r="BL18" s="99"/>
      <c r="BT18" s="99"/>
      <c r="BU18" s="99"/>
      <c r="BV18" s="99"/>
    </row>
    <row r="19" spans="1:74" ht="25.9" x14ac:dyDescent="0.45">
      <c r="A19" s="675" t="s">
        <v>176</v>
      </c>
      <c r="B19" s="675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AG19" s="99"/>
      <c r="AH19" s="99"/>
      <c r="AJ19" s="434">
        <v>15</v>
      </c>
      <c r="AK19" s="435">
        <v>1200</v>
      </c>
      <c r="AL19" s="435">
        <v>2896.0604166666667</v>
      </c>
      <c r="AM19" s="430">
        <v>3599</v>
      </c>
      <c r="AN19"/>
      <c r="AO19" s="99"/>
      <c r="AP19" s="434">
        <v>15</v>
      </c>
      <c r="AQ19" s="435">
        <v>1200</v>
      </c>
      <c r="AR19" s="435">
        <v>15</v>
      </c>
      <c r="AS19" s="99"/>
      <c r="AT19" s="428">
        <v>15</v>
      </c>
      <c r="AU19">
        <v>944.20700000000011</v>
      </c>
      <c r="AV19" s="429">
        <v>1000</v>
      </c>
      <c r="AW19" s="73">
        <v>104.99999999999999</v>
      </c>
      <c r="AY19" s="428">
        <v>15</v>
      </c>
      <c r="AZ19">
        <v>944.20700000000011</v>
      </c>
      <c r="BA19" s="257">
        <v>21.768511627906975</v>
      </c>
      <c r="BB19" s="99"/>
      <c r="BC19" s="428">
        <v>15</v>
      </c>
      <c r="BD19">
        <v>944.20700000000011</v>
      </c>
      <c r="BE19" s="257">
        <v>21.768511627906975</v>
      </c>
      <c r="BF19" s="173">
        <v>99141.735000000001</v>
      </c>
      <c r="BG19" s="99"/>
      <c r="BH19" s="434">
        <v>15</v>
      </c>
      <c r="BI19" s="435">
        <v>1200</v>
      </c>
      <c r="BJ19" s="435">
        <v>3475272.5</v>
      </c>
      <c r="BL19" s="99"/>
      <c r="BT19" s="99"/>
      <c r="BU19" s="99"/>
      <c r="BV19" s="99"/>
    </row>
    <row r="20" spans="1:74" ht="14.25" x14ac:dyDescent="0.25">
      <c r="AG20" s="99"/>
      <c r="AH20" s="99"/>
      <c r="AJ20" s="434">
        <v>16</v>
      </c>
      <c r="AK20" s="435">
        <v>1600</v>
      </c>
      <c r="AL20" s="435">
        <v>2646.4334374999999</v>
      </c>
      <c r="AM20" s="430">
        <v>3599</v>
      </c>
      <c r="AN20"/>
      <c r="AO20" s="99"/>
      <c r="AP20" s="434">
        <v>16</v>
      </c>
      <c r="AQ20" s="435">
        <v>1600</v>
      </c>
      <c r="AR20" s="435">
        <v>20</v>
      </c>
      <c r="AS20" s="99"/>
      <c r="AT20" s="428">
        <v>16</v>
      </c>
      <c r="AU20">
        <v>987.57600000000002</v>
      </c>
      <c r="AV20" s="429">
        <v>1000</v>
      </c>
      <c r="AW20" s="73">
        <v>105.00000000000001</v>
      </c>
      <c r="AY20" s="428">
        <v>16</v>
      </c>
      <c r="AZ20">
        <v>987.57600000000002</v>
      </c>
      <c r="BA20" s="257">
        <v>23.532730627705632</v>
      </c>
      <c r="BB20" s="99"/>
      <c r="BC20" s="428">
        <v>16</v>
      </c>
      <c r="BD20">
        <v>987.57600000000002</v>
      </c>
      <c r="BE20" s="257">
        <v>23.532730627705632</v>
      </c>
      <c r="BF20" s="173">
        <v>103695.48000000001</v>
      </c>
      <c r="BG20" s="99"/>
      <c r="BH20" s="434">
        <v>16</v>
      </c>
      <c r="BI20" s="435">
        <v>1600</v>
      </c>
      <c r="BJ20" s="435">
        <v>4234293.5</v>
      </c>
      <c r="BL20" s="99"/>
      <c r="BT20" s="99"/>
      <c r="BU20" s="99"/>
      <c r="BV20" s="99"/>
    </row>
    <row r="21" spans="1:74" ht="21.2" x14ac:dyDescent="0.25">
      <c r="Z21" s="102" t="s">
        <v>177</v>
      </c>
      <c r="AA21" s="102"/>
      <c r="AG21" s="99"/>
      <c r="AH21" s="99"/>
      <c r="AJ21" s="434">
        <v>17</v>
      </c>
      <c r="AK21" s="435">
        <v>1440</v>
      </c>
      <c r="AL21" s="435">
        <v>3481.7406249999999</v>
      </c>
      <c r="AM21" s="430">
        <v>3599</v>
      </c>
      <c r="AN21"/>
      <c r="AO21" s="99"/>
      <c r="AP21" s="434">
        <v>17</v>
      </c>
      <c r="AQ21" s="435">
        <v>1440</v>
      </c>
      <c r="AR21" s="435">
        <v>18</v>
      </c>
      <c r="AS21" s="99"/>
      <c r="AT21" s="428">
        <v>17</v>
      </c>
      <c r="AU21">
        <v>755.36500000000001</v>
      </c>
      <c r="AV21" s="429">
        <v>1000</v>
      </c>
      <c r="AW21" s="73">
        <v>105.00000000000001</v>
      </c>
      <c r="AY21" s="428">
        <v>17</v>
      </c>
      <c r="AZ21">
        <v>755.36500000000001</v>
      </c>
      <c r="BA21" s="257" t="e">
        <v>#DIV/0!</v>
      </c>
      <c r="BB21" s="99"/>
      <c r="BC21" s="428">
        <v>17</v>
      </c>
      <c r="BD21">
        <v>755.36500000000001</v>
      </c>
      <c r="BE21" s="257" t="e">
        <v>#DIV/0!</v>
      </c>
      <c r="BF21" s="173">
        <v>79313.325000000012</v>
      </c>
      <c r="BG21" s="99"/>
      <c r="BH21" s="434">
        <v>17</v>
      </c>
      <c r="BI21" s="435">
        <v>1440</v>
      </c>
      <c r="BJ21" s="435">
        <v>5013706.5</v>
      </c>
      <c r="BL21" s="99"/>
      <c r="BT21" s="99"/>
      <c r="BU21" s="99"/>
      <c r="BV21" s="99"/>
    </row>
    <row r="22" spans="1:74" ht="14.25" x14ac:dyDescent="0.25">
      <c r="AG22" s="99"/>
      <c r="AH22" s="99"/>
      <c r="AJ22" s="434">
        <v>18</v>
      </c>
      <c r="AK22" s="435">
        <v>1680</v>
      </c>
      <c r="AL22" s="435">
        <v>3085.6183035714284</v>
      </c>
      <c r="AM22" s="430">
        <v>3599</v>
      </c>
      <c r="AN22"/>
      <c r="AO22" s="99"/>
      <c r="AP22" s="434">
        <v>18</v>
      </c>
      <c r="AQ22" s="435">
        <v>1680</v>
      </c>
      <c r="AR22" s="435">
        <v>21</v>
      </c>
      <c r="AS22" s="99"/>
      <c r="AT22" s="428">
        <v>18</v>
      </c>
      <c r="AU22">
        <v>688.20900000000006</v>
      </c>
      <c r="AV22" s="429">
        <v>1000</v>
      </c>
      <c r="AW22" s="73">
        <v>105</v>
      </c>
      <c r="AY22" s="428">
        <v>18</v>
      </c>
      <c r="AZ22">
        <v>688.20900000000006</v>
      </c>
      <c r="BA22" s="257" t="e">
        <v>#DIV/0!</v>
      </c>
      <c r="BB22" s="99"/>
      <c r="BC22" s="428">
        <v>18</v>
      </c>
      <c r="BD22">
        <v>688.20900000000006</v>
      </c>
      <c r="BE22" s="257" t="e">
        <v>#DIV/0!</v>
      </c>
      <c r="BF22" s="173">
        <v>72261.945000000007</v>
      </c>
      <c r="BG22" s="99"/>
      <c r="BH22" s="434">
        <v>18</v>
      </c>
      <c r="BI22" s="435">
        <v>1680</v>
      </c>
      <c r="BJ22" s="435">
        <v>5183838.75</v>
      </c>
      <c r="BL22" s="99"/>
      <c r="BT22" s="99"/>
      <c r="BU22" s="99"/>
      <c r="BV22" s="99"/>
    </row>
    <row r="23" spans="1:74" ht="22.5" x14ac:dyDescent="0.25">
      <c r="Z23" s="676" t="s">
        <v>330</v>
      </c>
      <c r="AA23" s="676"/>
      <c r="AB23" s="676"/>
      <c r="AC23" s="676"/>
      <c r="AD23" s="676"/>
      <c r="AG23" s="99"/>
      <c r="AH23" s="99"/>
      <c r="AJ23" s="434">
        <v>19</v>
      </c>
      <c r="AK23" s="435">
        <v>0</v>
      </c>
      <c r="AL23" s="435">
        <v>0</v>
      </c>
      <c r="AM23" s="430">
        <v>3599</v>
      </c>
      <c r="AN23"/>
      <c r="AO23" s="99"/>
      <c r="AP23" s="434">
        <v>19</v>
      </c>
      <c r="AQ23" s="435">
        <v>0</v>
      </c>
      <c r="AR23" s="435">
        <v>0</v>
      </c>
      <c r="AS23" s="99"/>
      <c r="AT23" s="428">
        <v>19</v>
      </c>
      <c r="AU23">
        <v>0</v>
      </c>
      <c r="AV23" s="429">
        <v>1000</v>
      </c>
      <c r="AW23" s="73">
        <v>0</v>
      </c>
      <c r="AY23" s="428">
        <v>19</v>
      </c>
      <c r="AZ23">
        <v>0</v>
      </c>
      <c r="BA23" s="257" t="e">
        <v>#DIV/0!</v>
      </c>
      <c r="BB23" s="99"/>
      <c r="BC23" s="428">
        <v>19</v>
      </c>
      <c r="BD23">
        <v>0</v>
      </c>
      <c r="BE23" s="257" t="e">
        <v>#DIV/0!</v>
      </c>
      <c r="BF23" s="173">
        <v>0</v>
      </c>
      <c r="BG23" s="99"/>
      <c r="BH23" s="434">
        <v>19</v>
      </c>
      <c r="BI23" s="435">
        <v>0</v>
      </c>
      <c r="BJ23" s="435">
        <v>330750</v>
      </c>
      <c r="BL23" s="99"/>
      <c r="BT23" s="99"/>
      <c r="BU23" s="99"/>
      <c r="BV23" s="99"/>
    </row>
    <row r="24" spans="1:74" ht="38.1" x14ac:dyDescent="0.25">
      <c r="Z24" s="254" t="s">
        <v>178</v>
      </c>
      <c r="AA24" s="254" t="s">
        <v>119</v>
      </c>
      <c r="AB24" s="254" t="s">
        <v>327</v>
      </c>
      <c r="AC24" s="254" t="s">
        <v>335</v>
      </c>
      <c r="AD24" s="254" t="s">
        <v>315</v>
      </c>
      <c r="AG24" s="99"/>
      <c r="AH24" s="99"/>
      <c r="AJ24" s="434">
        <v>20</v>
      </c>
      <c r="AK24" s="435">
        <v>1600</v>
      </c>
      <c r="AL24" s="435">
        <v>2180.94484375</v>
      </c>
      <c r="AM24" s="430">
        <v>3599</v>
      </c>
      <c r="AN24"/>
      <c r="AO24" s="99"/>
      <c r="AP24" s="434">
        <v>20</v>
      </c>
      <c r="AQ24" s="435">
        <v>1600</v>
      </c>
      <c r="AR24" s="435">
        <v>20</v>
      </c>
      <c r="AS24" s="99"/>
      <c r="AT24" s="428">
        <v>20</v>
      </c>
      <c r="AU24">
        <v>829.34699999999998</v>
      </c>
      <c r="AV24" s="429">
        <v>1000</v>
      </c>
      <c r="AW24" s="73">
        <v>105.00000000000001</v>
      </c>
      <c r="AY24" s="428">
        <v>20</v>
      </c>
      <c r="AZ24">
        <v>829.34699999999998</v>
      </c>
      <c r="BA24" s="257" t="e">
        <v>#DIV/0!</v>
      </c>
      <c r="BB24" s="99"/>
      <c r="BC24" s="428">
        <v>20</v>
      </c>
      <c r="BD24">
        <v>829.34699999999998</v>
      </c>
      <c r="BE24" s="257" t="e">
        <v>#DIV/0!</v>
      </c>
      <c r="BF24" s="173">
        <v>87081.435000000012</v>
      </c>
      <c r="BG24" s="99"/>
      <c r="BH24" s="434">
        <v>20</v>
      </c>
      <c r="BI24" s="435">
        <v>1600</v>
      </c>
      <c r="BJ24" s="435">
        <v>3489511.75</v>
      </c>
      <c r="BL24" s="99"/>
      <c r="BT24" s="99"/>
      <c r="BU24" s="99"/>
      <c r="BV24" s="99"/>
    </row>
    <row r="25" spans="1:74" ht="22.5" x14ac:dyDescent="0.4">
      <c r="Z25" s="109">
        <f>+GETPIVOTDATA(" VOLUMEN ENVIADO A RO (m3)",$AT$4)</f>
        <v>17694.769000000008</v>
      </c>
      <c r="AA25" s="181">
        <f>+AD25/Z25</f>
        <v>104.99999999999997</v>
      </c>
      <c r="AB25" s="260" t="e">
        <f>GETPIVOTDATA("TIEMPO DE OPERACIÓN",$AY$4)</f>
        <v>#DIV/0!</v>
      </c>
      <c r="AC25" s="255" t="e">
        <f>AD25/AB25</f>
        <v>#DIV/0!</v>
      </c>
      <c r="AD25" s="255">
        <f>GETPIVOTDATA("COSTO QUIMICA  ",$BC$4)</f>
        <v>1857950.7450000003</v>
      </c>
      <c r="AG25" s="99"/>
      <c r="AH25" s="99"/>
      <c r="AJ25" s="434">
        <v>21</v>
      </c>
      <c r="AK25" s="435">
        <v>1360</v>
      </c>
      <c r="AL25" s="435">
        <v>2748.0113970588236</v>
      </c>
      <c r="AM25" s="430">
        <v>3599</v>
      </c>
      <c r="AN25"/>
      <c r="AO25" s="99"/>
      <c r="AP25" s="434">
        <v>21</v>
      </c>
      <c r="AQ25" s="435">
        <v>1360</v>
      </c>
      <c r="AR25" s="435">
        <v>17</v>
      </c>
      <c r="AT25" s="428">
        <v>21</v>
      </c>
      <c r="AU25">
        <v>909.375</v>
      </c>
      <c r="AV25" s="429">
        <v>1000</v>
      </c>
      <c r="AW25" s="73">
        <v>105</v>
      </c>
      <c r="AY25" s="428">
        <v>21</v>
      </c>
      <c r="AZ25">
        <v>909.375</v>
      </c>
      <c r="BA25" s="257" t="e">
        <v>#DIV/0!</v>
      </c>
      <c r="BB25" s="99"/>
      <c r="BC25" s="428">
        <v>21</v>
      </c>
      <c r="BD25">
        <v>909.375</v>
      </c>
      <c r="BE25" s="257" t="e">
        <v>#DIV/0!</v>
      </c>
      <c r="BF25" s="173">
        <v>95484.375</v>
      </c>
      <c r="BG25" s="99"/>
      <c r="BH25" s="434">
        <v>21</v>
      </c>
      <c r="BI25" s="435">
        <v>1360</v>
      </c>
      <c r="BJ25" s="435">
        <v>3737295.5</v>
      </c>
      <c r="BL25" s="99"/>
      <c r="BT25" s="99"/>
      <c r="BU25" s="99"/>
      <c r="BV25" s="99"/>
    </row>
    <row r="26" spans="1:74" ht="14.25" x14ac:dyDescent="0.25">
      <c r="AG26" s="99"/>
      <c r="AH26" s="99"/>
      <c r="AJ26" s="434">
        <v>22</v>
      </c>
      <c r="AK26" s="435">
        <v>1520</v>
      </c>
      <c r="AL26" s="435">
        <v>3660.9736842105262</v>
      </c>
      <c r="AM26" s="430">
        <v>3599</v>
      </c>
      <c r="AN26"/>
      <c r="AO26" s="99"/>
      <c r="AP26" s="434">
        <v>22</v>
      </c>
      <c r="AQ26" s="435">
        <v>1520</v>
      </c>
      <c r="AR26" s="435">
        <v>19</v>
      </c>
      <c r="AT26" s="428">
        <v>22</v>
      </c>
      <c r="AU26">
        <v>872.69399999999996</v>
      </c>
      <c r="AV26" s="429">
        <v>1000</v>
      </c>
      <c r="AW26" s="73">
        <v>105</v>
      </c>
      <c r="AY26" s="428">
        <v>22</v>
      </c>
      <c r="AZ26">
        <v>872.69399999999996</v>
      </c>
      <c r="BA26" s="257" t="e">
        <v>#DIV/0!</v>
      </c>
      <c r="BB26" s="99"/>
      <c r="BC26" s="428">
        <v>22</v>
      </c>
      <c r="BD26">
        <v>872.69399999999996</v>
      </c>
      <c r="BE26" s="257" t="e">
        <v>#DIV/0!</v>
      </c>
      <c r="BF26" s="173">
        <v>91632.87</v>
      </c>
      <c r="BG26" s="99"/>
      <c r="BH26" s="434">
        <v>22</v>
      </c>
      <c r="BI26" s="435">
        <v>1520</v>
      </c>
      <c r="BJ26" s="435">
        <v>5564680</v>
      </c>
    </row>
    <row r="27" spans="1:74" ht="14.25" x14ac:dyDescent="0.25">
      <c r="AG27" s="99"/>
      <c r="AH27" s="99"/>
      <c r="AJ27" s="434">
        <v>23</v>
      </c>
      <c r="AK27" s="435">
        <v>1495</v>
      </c>
      <c r="AL27" s="435">
        <v>2341.9923076923078</v>
      </c>
      <c r="AM27" s="430">
        <v>3599</v>
      </c>
      <c r="AN27"/>
      <c r="AO27" s="99"/>
      <c r="AP27" s="434">
        <v>23</v>
      </c>
      <c r="AQ27" s="435">
        <v>1495</v>
      </c>
      <c r="AR27" s="435">
        <v>17</v>
      </c>
      <c r="AT27" s="428">
        <v>23</v>
      </c>
      <c r="AU27">
        <v>839.55500000000006</v>
      </c>
      <c r="AV27" s="429">
        <v>1000</v>
      </c>
      <c r="AW27" s="73">
        <v>104.99999999999999</v>
      </c>
      <c r="AY27" s="428">
        <v>23</v>
      </c>
      <c r="AZ27">
        <v>839.55500000000006</v>
      </c>
      <c r="BA27" s="257" t="e">
        <v>#DIV/0!</v>
      </c>
      <c r="BB27" s="99"/>
      <c r="BC27" s="428">
        <v>23</v>
      </c>
      <c r="BD27">
        <v>839.55500000000006</v>
      </c>
      <c r="BE27" s="257" t="e">
        <v>#DIV/0!</v>
      </c>
      <c r="BF27" s="173">
        <v>88153.274999999994</v>
      </c>
      <c r="BG27" s="99"/>
      <c r="BH27" s="434">
        <v>23</v>
      </c>
      <c r="BI27" s="435">
        <v>1495</v>
      </c>
      <c r="BJ27" s="435">
        <v>3501278.5</v>
      </c>
    </row>
    <row r="28" spans="1:74" ht="21.2" x14ac:dyDescent="0.25">
      <c r="C28" s="102"/>
      <c r="AC28" s="261"/>
      <c r="AD28" s="261"/>
      <c r="AE28" s="261"/>
      <c r="AG28" s="99"/>
      <c r="AH28" s="99"/>
      <c r="AJ28" s="434">
        <v>24</v>
      </c>
      <c r="AK28" s="435">
        <v>1360</v>
      </c>
      <c r="AL28" s="435">
        <v>2116.0264705882355</v>
      </c>
      <c r="AM28" s="430">
        <v>3599</v>
      </c>
      <c r="AN28"/>
      <c r="AO28" s="99"/>
      <c r="AP28" s="434">
        <v>24</v>
      </c>
      <c r="AQ28" s="435">
        <v>1360</v>
      </c>
      <c r="AR28" s="435">
        <v>17</v>
      </c>
      <c r="AT28" s="428">
        <v>24</v>
      </c>
      <c r="AU28">
        <v>825.55399999999997</v>
      </c>
      <c r="AV28" s="429">
        <v>1000</v>
      </c>
      <c r="AW28" s="73">
        <v>105.00000000000001</v>
      </c>
      <c r="AY28" s="428">
        <v>24</v>
      </c>
      <c r="AZ28">
        <v>825.55399999999997</v>
      </c>
      <c r="BA28" s="257" t="e">
        <v>#DIV/0!</v>
      </c>
      <c r="BB28" s="99"/>
      <c r="BC28" s="428">
        <v>24</v>
      </c>
      <c r="BD28">
        <v>825.55399999999997</v>
      </c>
      <c r="BE28" s="257" t="e">
        <v>#DIV/0!</v>
      </c>
      <c r="BF28" s="173">
        <v>86683.170000000013</v>
      </c>
      <c r="BG28" s="99"/>
      <c r="BH28" s="434">
        <v>24</v>
      </c>
      <c r="BI28" s="435">
        <v>1360</v>
      </c>
      <c r="BJ28" s="435">
        <v>2877796</v>
      </c>
    </row>
    <row r="29" spans="1:74" ht="14.25" x14ac:dyDescent="0.25">
      <c r="AG29" s="99"/>
      <c r="AH29" s="99"/>
      <c r="AJ29" s="434">
        <v>25</v>
      </c>
      <c r="AK29" s="435">
        <v>1360</v>
      </c>
      <c r="AL29" s="435">
        <v>2486.9143382352941</v>
      </c>
      <c r="AM29" s="430">
        <v>3599</v>
      </c>
      <c r="AN29"/>
      <c r="AO29" s="99"/>
      <c r="AP29" s="434">
        <v>25</v>
      </c>
      <c r="AQ29" s="435">
        <v>1360</v>
      </c>
      <c r="AR29" s="435">
        <v>17</v>
      </c>
      <c r="AT29" s="428">
        <v>25</v>
      </c>
      <c r="AU29">
        <v>622.58199999999999</v>
      </c>
      <c r="AV29" s="429">
        <v>1000</v>
      </c>
      <c r="AW29" s="73">
        <v>105.00000000000003</v>
      </c>
      <c r="AY29" s="428">
        <v>25</v>
      </c>
      <c r="AZ29">
        <v>622.58199999999999</v>
      </c>
      <c r="BA29" s="257" t="e">
        <v>#DIV/0!</v>
      </c>
      <c r="BB29" s="99"/>
      <c r="BC29" s="428">
        <v>25</v>
      </c>
      <c r="BD29">
        <v>622.58199999999999</v>
      </c>
      <c r="BE29" s="257" t="e">
        <v>#DIV/0!</v>
      </c>
      <c r="BF29" s="173">
        <v>65371.110000000015</v>
      </c>
      <c r="BG29" s="99"/>
      <c r="BH29" s="434">
        <v>25</v>
      </c>
      <c r="BI29" s="435">
        <v>1360</v>
      </c>
      <c r="BJ29" s="435">
        <v>3382203.5</v>
      </c>
      <c r="BK29" s="99"/>
    </row>
    <row r="30" spans="1:74" ht="14.25" x14ac:dyDescent="0.25">
      <c r="AG30" s="99"/>
      <c r="AH30" s="99"/>
      <c r="AJ30" s="434">
        <v>26</v>
      </c>
      <c r="AK30" s="435">
        <v>800</v>
      </c>
      <c r="AL30" s="435">
        <v>1466.7093749999999</v>
      </c>
      <c r="AM30" s="430">
        <v>3599</v>
      </c>
      <c r="AN30"/>
      <c r="AO30" s="99"/>
      <c r="AP30" s="434">
        <v>26</v>
      </c>
      <c r="AQ30" s="435">
        <v>800</v>
      </c>
      <c r="AR30" s="435">
        <v>10</v>
      </c>
      <c r="AT30" s="428">
        <v>26</v>
      </c>
      <c r="AU30">
        <v>125.733</v>
      </c>
      <c r="AV30" s="429">
        <v>1000</v>
      </c>
      <c r="AW30" s="73">
        <v>105.00000000000001</v>
      </c>
      <c r="AY30" s="428">
        <v>26</v>
      </c>
      <c r="AZ30">
        <v>125.733</v>
      </c>
      <c r="BA30" s="257" t="e">
        <v>#DIV/0!</v>
      </c>
      <c r="BB30" s="99"/>
      <c r="BC30" s="428">
        <v>26</v>
      </c>
      <c r="BD30">
        <v>125.733</v>
      </c>
      <c r="BE30" s="257" t="e">
        <v>#DIV/0!</v>
      </c>
      <c r="BF30" s="173">
        <v>13201.965000000002</v>
      </c>
      <c r="BG30" s="99"/>
      <c r="BH30" s="434">
        <v>26</v>
      </c>
      <c r="BI30" s="435">
        <v>800</v>
      </c>
      <c r="BJ30" s="435">
        <v>1173367.5</v>
      </c>
      <c r="BK30" s="99"/>
    </row>
    <row r="31" spans="1:74" ht="14.25" x14ac:dyDescent="0.25">
      <c r="AG31" s="99"/>
      <c r="AH31" s="99"/>
      <c r="AJ31" s="434">
        <v>27</v>
      </c>
      <c r="AK31" s="435">
        <v>1520</v>
      </c>
      <c r="AL31" s="435">
        <v>2624.4664473684211</v>
      </c>
      <c r="AM31" s="430">
        <v>3599</v>
      </c>
      <c r="AN31"/>
      <c r="AO31" s="99"/>
      <c r="AP31" s="434">
        <v>27</v>
      </c>
      <c r="AQ31" s="435">
        <v>1520</v>
      </c>
      <c r="AR31" s="435">
        <v>19</v>
      </c>
      <c r="AT31" s="428">
        <v>27</v>
      </c>
      <c r="AU31">
        <v>940.94499999999994</v>
      </c>
      <c r="AV31" s="429">
        <v>1000</v>
      </c>
      <c r="AW31" s="73">
        <v>105.00000000000001</v>
      </c>
      <c r="AY31" s="428">
        <v>27</v>
      </c>
      <c r="AZ31">
        <v>940.94499999999994</v>
      </c>
      <c r="BA31" s="257" t="e">
        <v>#DIV/0!</v>
      </c>
      <c r="BB31" s="99"/>
      <c r="BC31" s="428">
        <v>27</v>
      </c>
      <c r="BD31">
        <v>940.94499999999994</v>
      </c>
      <c r="BE31" s="257" t="e">
        <v>#DIV/0!</v>
      </c>
      <c r="BF31" s="173">
        <v>98799.225000000006</v>
      </c>
      <c r="BG31" s="99"/>
      <c r="BH31" s="434">
        <v>27</v>
      </c>
      <c r="BI31" s="435">
        <v>1520</v>
      </c>
      <c r="BJ31" s="435">
        <v>3989189</v>
      </c>
      <c r="BK31" s="99"/>
    </row>
    <row r="32" spans="1:74" ht="14.25" x14ac:dyDescent="0.25">
      <c r="AG32" s="99"/>
      <c r="AH32" s="99"/>
      <c r="AJ32" s="434">
        <v>28</v>
      </c>
      <c r="AK32" s="435">
        <v>1600</v>
      </c>
      <c r="AL32" s="435">
        <v>2916.3146875000002</v>
      </c>
      <c r="AM32" s="430">
        <v>3599</v>
      </c>
      <c r="AN32"/>
      <c r="AO32" s="99"/>
      <c r="AP32" s="434">
        <v>28</v>
      </c>
      <c r="AQ32" s="435">
        <v>1600</v>
      </c>
      <c r="AR32" s="435">
        <v>20</v>
      </c>
      <c r="AT32" s="428">
        <v>28</v>
      </c>
      <c r="AU32">
        <v>940.33199999999999</v>
      </c>
      <c r="AV32" s="429">
        <v>1000</v>
      </c>
      <c r="AW32" s="73">
        <v>105.00000000000001</v>
      </c>
      <c r="AY32" s="428">
        <v>28</v>
      </c>
      <c r="AZ32">
        <v>940.33199999999999</v>
      </c>
      <c r="BA32" s="257" t="e">
        <v>#DIV/0!</v>
      </c>
      <c r="BB32" s="99"/>
      <c r="BC32" s="428">
        <v>28</v>
      </c>
      <c r="BD32">
        <v>940.33199999999999</v>
      </c>
      <c r="BE32" s="257" t="e">
        <v>#DIV/0!</v>
      </c>
      <c r="BF32" s="173">
        <v>98734.860000000015</v>
      </c>
      <c r="BG32" s="99"/>
      <c r="BH32" s="434">
        <v>28</v>
      </c>
      <c r="BI32" s="435">
        <v>1600</v>
      </c>
      <c r="BJ32" s="435">
        <v>4666103.5</v>
      </c>
      <c r="BK32" s="99"/>
    </row>
    <row r="33" spans="33:63" ht="14.25" x14ac:dyDescent="0.25">
      <c r="AG33" s="99"/>
      <c r="AH33" s="99"/>
      <c r="AJ33" s="434">
        <v>29</v>
      </c>
      <c r="AK33" s="435">
        <v>1680</v>
      </c>
      <c r="AL33" s="435">
        <v>2882.8380952380953</v>
      </c>
      <c r="AM33" s="430">
        <v>3599</v>
      </c>
      <c r="AN33"/>
      <c r="AO33" s="99"/>
      <c r="AP33" s="434">
        <v>29</v>
      </c>
      <c r="AQ33" s="435">
        <v>1680</v>
      </c>
      <c r="AR33" s="435">
        <v>21</v>
      </c>
      <c r="AT33" s="428">
        <v>29</v>
      </c>
      <c r="AU33">
        <v>1045.816</v>
      </c>
      <c r="AV33" s="429">
        <v>1000</v>
      </c>
      <c r="AW33" s="73">
        <v>105.00000000000001</v>
      </c>
      <c r="AY33" s="428">
        <v>29</v>
      </c>
      <c r="AZ33">
        <v>1045.816</v>
      </c>
      <c r="BA33" s="257" t="e">
        <v>#DIV/0!</v>
      </c>
      <c r="BB33" s="99"/>
      <c r="BC33" s="428">
        <v>29</v>
      </c>
      <c r="BD33">
        <v>1045.816</v>
      </c>
      <c r="BE33" s="257" t="e">
        <v>#DIV/0!</v>
      </c>
      <c r="BF33" s="173">
        <v>109810.68000000002</v>
      </c>
      <c r="BG33" s="99"/>
      <c r="BH33" s="434">
        <v>29</v>
      </c>
      <c r="BI33" s="435">
        <v>1680</v>
      </c>
      <c r="BJ33" s="435">
        <v>4843168</v>
      </c>
      <c r="BK33" s="99"/>
    </row>
    <row r="34" spans="33:63" ht="14.25" x14ac:dyDescent="0.25">
      <c r="AG34" s="99"/>
      <c r="AH34" s="99"/>
      <c r="AJ34" s="434">
        <v>30</v>
      </c>
      <c r="AK34" s="435">
        <v>1520</v>
      </c>
      <c r="AL34" s="435">
        <v>2777.1713815789471</v>
      </c>
      <c r="AM34" s="430">
        <v>3599</v>
      </c>
      <c r="AN34"/>
      <c r="AO34" s="99"/>
      <c r="AP34" s="434">
        <v>30</v>
      </c>
      <c r="AQ34" s="435">
        <v>1520</v>
      </c>
      <c r="AR34" s="435">
        <v>19</v>
      </c>
      <c r="AT34" s="428">
        <v>30</v>
      </c>
      <c r="AU34">
        <v>709.06099999999992</v>
      </c>
      <c r="AV34" s="429">
        <v>1000</v>
      </c>
      <c r="AW34" s="73">
        <v>105.00000000000001</v>
      </c>
      <c r="AY34" s="428">
        <v>30</v>
      </c>
      <c r="AZ34">
        <v>709.06099999999992</v>
      </c>
      <c r="BA34" s="257" t="e">
        <v>#DIV/0!</v>
      </c>
      <c r="BB34" s="99"/>
      <c r="BC34" s="428">
        <v>30</v>
      </c>
      <c r="BD34">
        <v>709.06099999999992</v>
      </c>
      <c r="BE34" s="257" t="e">
        <v>#DIV/0!</v>
      </c>
      <c r="BF34" s="173">
        <v>74451.404999999999</v>
      </c>
      <c r="BG34" s="99"/>
      <c r="BH34" s="434">
        <v>30</v>
      </c>
      <c r="BI34" s="435">
        <v>1520</v>
      </c>
      <c r="BJ34" s="435">
        <v>4221300.5</v>
      </c>
      <c r="BK34" s="99"/>
    </row>
    <row r="35" spans="33:63" ht="14.25" x14ac:dyDescent="0.25">
      <c r="AG35" s="99"/>
      <c r="AH35" s="99"/>
      <c r="AJ35" s="434" t="s">
        <v>72</v>
      </c>
      <c r="AK35" s="435">
        <v>32414</v>
      </c>
      <c r="AL35" s="435">
        <v>2659.3038656136237</v>
      </c>
      <c r="AM35" s="430">
        <v>3599</v>
      </c>
      <c r="AN35"/>
      <c r="AO35" s="99"/>
      <c r="AP35" s="434" t="s">
        <v>72</v>
      </c>
      <c r="AQ35" s="435">
        <v>32414</v>
      </c>
      <c r="AR35" s="435">
        <v>403</v>
      </c>
      <c r="AT35" s="428" t="s">
        <v>72</v>
      </c>
      <c r="AU35">
        <v>17694.769000000008</v>
      </c>
      <c r="AV35" s="429">
        <v>1000</v>
      </c>
      <c r="AW35" s="73">
        <v>104.99999999999994</v>
      </c>
      <c r="AY35" s="428" t="s">
        <v>72</v>
      </c>
      <c r="AZ35">
        <v>17694.769000000004</v>
      </c>
      <c r="BA35" s="257" t="e">
        <v>#DIV/0!</v>
      </c>
      <c r="BB35" s="99"/>
      <c r="BC35" s="428" t="s">
        <v>72</v>
      </c>
      <c r="BD35">
        <v>17694.769000000004</v>
      </c>
      <c r="BE35" s="257" t="e">
        <v>#DIV/0!</v>
      </c>
      <c r="BF35" s="173">
        <v>1857950.7450000003</v>
      </c>
      <c r="BG35" s="99"/>
      <c r="BH35" s="434" t="s">
        <v>72</v>
      </c>
      <c r="BI35" s="435">
        <v>32414</v>
      </c>
      <c r="BJ35" s="435">
        <v>86198675.5</v>
      </c>
      <c r="BK35" s="99"/>
    </row>
    <row r="36" spans="33:63" ht="14.25" x14ac:dyDescent="0.25">
      <c r="AG36" s="99"/>
      <c r="AH36" s="99"/>
      <c r="AJ36"/>
      <c r="AK36"/>
      <c r="AL36"/>
      <c r="AM36"/>
      <c r="AN36"/>
      <c r="AO36" s="99"/>
      <c r="AP36"/>
      <c r="AQ36"/>
      <c r="AR36"/>
      <c r="AW36"/>
      <c r="AY36"/>
      <c r="AZ36"/>
      <c r="BA36"/>
      <c r="BB36" s="99"/>
      <c r="BG36" s="99"/>
      <c r="BK36" s="99"/>
    </row>
    <row r="37" spans="33:63" ht="14.25" x14ac:dyDescent="0.25">
      <c r="AG37" s="99"/>
      <c r="AH37" s="99"/>
      <c r="AJ37" s="99"/>
      <c r="AK37" s="99"/>
      <c r="AL37" s="99"/>
      <c r="AM37" s="99"/>
      <c r="AN37" s="99"/>
      <c r="AO37" s="99"/>
      <c r="AP37"/>
      <c r="AQ37"/>
      <c r="AR37" s="99"/>
      <c r="AS37" s="99"/>
      <c r="AT37" s="99"/>
      <c r="AU37" s="99"/>
      <c r="AV37" s="99"/>
      <c r="AW37" s="99"/>
      <c r="AY37"/>
      <c r="AZ37"/>
      <c r="BA37"/>
      <c r="BB37" s="99"/>
      <c r="BG37" s="99"/>
      <c r="BH37" s="99"/>
      <c r="BI37" s="99"/>
      <c r="BJ37" s="99"/>
      <c r="BK37" s="99"/>
    </row>
    <row r="38" spans="33:63" ht="14.25" x14ac:dyDescent="0.25">
      <c r="AG38" s="99"/>
      <c r="AH38" s="99"/>
      <c r="AJ38" s="99"/>
      <c r="AK38" s="99"/>
      <c r="AL38" s="99"/>
      <c r="AM38" s="99"/>
      <c r="AN38" s="99"/>
      <c r="AO38" s="99"/>
      <c r="AP38"/>
      <c r="AQ38"/>
      <c r="AR38" s="99"/>
      <c r="AS38" s="99"/>
      <c r="AT38" s="99"/>
      <c r="AU38" s="99"/>
      <c r="AV38" s="99"/>
      <c r="AW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</row>
    <row r="39" spans="33:63" ht="14.25" x14ac:dyDescent="0.25">
      <c r="AG39" s="99"/>
      <c r="AH39" s="99"/>
      <c r="AP39"/>
      <c r="AQ39"/>
      <c r="AR39" s="99"/>
      <c r="AT39" s="101"/>
      <c r="AU39" s="101"/>
      <c r="AV39" s="101"/>
      <c r="AW39" s="101"/>
      <c r="AX39" s="101"/>
      <c r="AY39" s="101"/>
      <c r="AZ39" s="101"/>
      <c r="BA39" s="101"/>
      <c r="BB39" s="99"/>
      <c r="BC39" s="99"/>
      <c r="BD39" s="99"/>
      <c r="BE39" s="99"/>
      <c r="BF39" s="99"/>
      <c r="BG39" s="99"/>
      <c r="BH39" s="99"/>
      <c r="BI39" s="99"/>
      <c r="BJ39" s="99"/>
      <c r="BK39" s="99"/>
    </row>
    <row r="40" spans="33:63" ht="14.25" x14ac:dyDescent="0.25">
      <c r="AG40" s="99"/>
      <c r="AH40" s="99"/>
      <c r="AP40"/>
      <c r="AQ40"/>
      <c r="AR40" s="99"/>
      <c r="AT40" s="101"/>
      <c r="AU40" s="101"/>
      <c r="AV40" s="101"/>
      <c r="AW40" s="101"/>
      <c r="AX40" s="101"/>
      <c r="AY40" s="101"/>
      <c r="AZ40" s="101"/>
      <c r="BA40" s="101"/>
      <c r="BB40" s="99"/>
      <c r="BC40" s="99"/>
      <c r="BD40" s="99"/>
      <c r="BE40" s="99"/>
      <c r="BF40" s="99"/>
      <c r="BG40" s="99"/>
      <c r="BH40" s="99"/>
      <c r="BI40" s="99"/>
      <c r="BJ40" s="99"/>
      <c r="BK40" s="99"/>
    </row>
    <row r="41" spans="33:63" ht="14.25" x14ac:dyDescent="0.25">
      <c r="AG41" s="99"/>
      <c r="AH41" s="99"/>
      <c r="AP41"/>
      <c r="AQ41"/>
      <c r="AR41" s="99"/>
      <c r="AT41" s="101"/>
      <c r="AU41" s="101"/>
      <c r="AV41" s="101"/>
      <c r="AW41" s="101"/>
      <c r="AX41" s="101"/>
      <c r="AY41" s="101"/>
      <c r="AZ41" s="101"/>
      <c r="BA41" s="101"/>
      <c r="BB41" s="99"/>
      <c r="BC41" s="99"/>
      <c r="BD41" s="99"/>
      <c r="BE41" s="99"/>
      <c r="BF41" s="99"/>
      <c r="BG41" s="99"/>
      <c r="BH41" s="99"/>
      <c r="BI41" s="99"/>
      <c r="BJ41" s="99"/>
      <c r="BK41" s="99"/>
    </row>
    <row r="42" spans="33:63" ht="14.25" x14ac:dyDescent="0.25">
      <c r="AG42" s="99"/>
      <c r="AH42" s="99"/>
      <c r="AP42"/>
      <c r="AQ42"/>
      <c r="AR42" s="99"/>
      <c r="AT42" s="101"/>
      <c r="AU42" s="101"/>
      <c r="AV42" s="101"/>
      <c r="AW42" s="101"/>
      <c r="AX42" s="101"/>
      <c r="AY42" s="101"/>
      <c r="AZ42" s="101"/>
      <c r="BA42" s="101"/>
      <c r="BB42" s="99"/>
      <c r="BC42" s="99"/>
      <c r="BD42" s="99"/>
      <c r="BE42" s="99"/>
      <c r="BF42" s="99"/>
      <c r="BG42" s="99"/>
      <c r="BH42" s="99"/>
      <c r="BI42" s="99"/>
      <c r="BJ42" s="99"/>
      <c r="BK42" s="99"/>
    </row>
    <row r="43" spans="33:63" ht="14.25" x14ac:dyDescent="0.25">
      <c r="AG43" s="99"/>
      <c r="AH43" s="99"/>
      <c r="AP43"/>
      <c r="AQ43"/>
      <c r="AR43" s="99"/>
      <c r="AT43" s="101"/>
      <c r="AU43" s="101"/>
      <c r="AV43" s="101"/>
      <c r="AW43" s="101"/>
      <c r="AX43" s="101"/>
      <c r="AY43" s="101"/>
      <c r="AZ43" s="101"/>
      <c r="BA43" s="101"/>
      <c r="BB43" s="99"/>
      <c r="BC43" s="99"/>
      <c r="BD43" s="99"/>
      <c r="BE43" s="99"/>
      <c r="BF43" s="99"/>
      <c r="BG43" s="99"/>
      <c r="BH43" s="99"/>
      <c r="BI43" s="99"/>
      <c r="BJ43" s="99"/>
      <c r="BK43" s="99"/>
    </row>
    <row r="44" spans="33:63" ht="14.25" x14ac:dyDescent="0.25">
      <c r="AG44" s="99"/>
      <c r="AH44" s="99"/>
      <c r="AP44"/>
      <c r="AQ44"/>
      <c r="AR44" s="99"/>
      <c r="AT44" s="101"/>
      <c r="AU44" s="101"/>
      <c r="AV44" s="101"/>
      <c r="AW44" s="101"/>
      <c r="AX44" s="101"/>
      <c r="AY44" s="101"/>
      <c r="AZ44" s="101"/>
      <c r="BA44" s="101"/>
      <c r="BB44" s="99"/>
      <c r="BC44" s="99"/>
      <c r="BD44" s="99"/>
      <c r="BE44" s="99"/>
      <c r="BF44" s="99"/>
      <c r="BG44" s="99"/>
      <c r="BH44" s="99"/>
      <c r="BI44" s="99"/>
      <c r="BJ44" s="99"/>
      <c r="BK44" s="99"/>
    </row>
    <row r="45" spans="33:63" ht="14.25" x14ac:dyDescent="0.25">
      <c r="AG45" s="99"/>
      <c r="AH45" s="99"/>
      <c r="AP45"/>
      <c r="AQ45"/>
      <c r="AR45" s="99"/>
      <c r="AT45" s="101"/>
      <c r="AU45" s="101"/>
      <c r="AV45" s="101"/>
      <c r="AW45" s="101"/>
      <c r="AX45" s="101"/>
      <c r="AY45" s="101"/>
      <c r="AZ45" s="101"/>
      <c r="BA45" s="101"/>
      <c r="BB45" s="99"/>
      <c r="BC45" s="99"/>
      <c r="BD45" s="99"/>
      <c r="BE45" s="99"/>
      <c r="BF45" s="99"/>
      <c r="BG45" s="99"/>
      <c r="BH45" s="99"/>
      <c r="BI45" s="99"/>
      <c r="BJ45" s="99"/>
      <c r="BK45" s="99"/>
    </row>
    <row r="46" spans="33:63" ht="14.25" x14ac:dyDescent="0.25">
      <c r="AG46" s="99"/>
      <c r="AH46" s="99"/>
      <c r="AP46"/>
      <c r="AQ46"/>
      <c r="AR46" s="99"/>
      <c r="AW46"/>
    </row>
    <row r="47" spans="33:63" ht="14.25" x14ac:dyDescent="0.25">
      <c r="AG47" s="99"/>
      <c r="AH47" s="99"/>
      <c r="AP47"/>
      <c r="AQ47"/>
      <c r="AW47"/>
    </row>
    <row r="48" spans="33:63" ht="14.25" x14ac:dyDescent="0.25">
      <c r="AG48" s="99"/>
      <c r="AH48" s="99"/>
      <c r="AP48"/>
      <c r="AQ48"/>
      <c r="AW48"/>
    </row>
    <row r="49" spans="2:49" ht="14.25" x14ac:dyDescent="0.25">
      <c r="AG49" s="99"/>
      <c r="AH49" s="99"/>
      <c r="AP49"/>
      <c r="AQ49"/>
      <c r="AW49"/>
    </row>
    <row r="50" spans="2:49" ht="14.25" x14ac:dyDescent="0.25">
      <c r="AG50" s="99"/>
      <c r="AH50" s="99"/>
      <c r="AP50"/>
      <c r="AQ50"/>
      <c r="AW50"/>
    </row>
    <row r="51" spans="2:49" x14ac:dyDescent="0.25">
      <c r="AG51" s="99"/>
      <c r="AH51" s="99"/>
      <c r="AP51"/>
      <c r="AQ51"/>
      <c r="AW51"/>
    </row>
    <row r="52" spans="2:49" x14ac:dyDescent="0.25">
      <c r="AG52" s="99"/>
      <c r="AH52" s="99"/>
      <c r="AP52"/>
      <c r="AQ52"/>
      <c r="AW52"/>
    </row>
    <row r="53" spans="2:49" x14ac:dyDescent="0.25">
      <c r="AG53" s="99"/>
      <c r="AH53" s="99"/>
      <c r="AP53"/>
      <c r="AQ53"/>
      <c r="AW53"/>
    </row>
    <row r="54" spans="2:49" x14ac:dyDescent="0.25"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AG54" s="99"/>
      <c r="AH54" s="99"/>
      <c r="AP54"/>
      <c r="AQ54"/>
      <c r="AW54"/>
    </row>
    <row r="55" spans="2:49" x14ac:dyDescent="0.25"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AG55" s="99"/>
      <c r="AH55" s="99"/>
      <c r="AP55"/>
      <c r="AQ55"/>
      <c r="AW55"/>
    </row>
    <row r="56" spans="2:49" x14ac:dyDescent="0.25">
      <c r="AG56" s="99"/>
      <c r="AH56" s="99"/>
      <c r="AP56"/>
      <c r="AQ56"/>
      <c r="AW56"/>
    </row>
    <row r="57" spans="2:49" x14ac:dyDescent="0.25">
      <c r="AG57" s="99"/>
      <c r="AH57" s="99"/>
      <c r="AP57"/>
      <c r="AQ57"/>
      <c r="AW57"/>
    </row>
    <row r="58" spans="2:49" x14ac:dyDescent="0.25">
      <c r="B58" s="166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AG58" s="99"/>
      <c r="AH58" s="99"/>
      <c r="AP58"/>
      <c r="AQ58"/>
      <c r="AW58"/>
    </row>
    <row r="59" spans="2:49" x14ac:dyDescent="0.25">
      <c r="AG59" s="99"/>
      <c r="AH59" s="99"/>
      <c r="AP59"/>
      <c r="AQ59"/>
      <c r="AW59"/>
    </row>
    <row r="60" spans="2:49" x14ac:dyDescent="0.25">
      <c r="AG60" s="99"/>
      <c r="AH60" s="99"/>
      <c r="AP60"/>
      <c r="AQ60"/>
      <c r="AW60"/>
    </row>
    <row r="61" spans="2:49" x14ac:dyDescent="0.25">
      <c r="AG61" s="99"/>
      <c r="AH61" s="99"/>
      <c r="AP61"/>
      <c r="AQ61"/>
      <c r="AW61"/>
    </row>
    <row r="62" spans="2:49" x14ac:dyDescent="0.25">
      <c r="AG62" s="99"/>
      <c r="AH62" s="99"/>
      <c r="AP62"/>
      <c r="AQ62"/>
      <c r="AW62"/>
    </row>
    <row r="63" spans="2:49" x14ac:dyDescent="0.25">
      <c r="AG63" s="99"/>
      <c r="AH63" s="99"/>
      <c r="AP63"/>
      <c r="AQ63"/>
      <c r="AW63"/>
    </row>
    <row r="64" spans="2:49" x14ac:dyDescent="0.25">
      <c r="AG64" s="99"/>
      <c r="AH64" s="99"/>
      <c r="AP64"/>
      <c r="AQ64"/>
      <c r="AW64"/>
    </row>
    <row r="65" spans="33:49" x14ac:dyDescent="0.25">
      <c r="AG65" s="99"/>
      <c r="AH65" s="99"/>
      <c r="AP65"/>
      <c r="AQ65"/>
      <c r="AW65"/>
    </row>
    <row r="66" spans="33:49" x14ac:dyDescent="0.25">
      <c r="AG66" s="99"/>
      <c r="AH66" s="99"/>
      <c r="AP66"/>
      <c r="AQ66"/>
      <c r="AW66"/>
    </row>
    <row r="67" spans="33:49" x14ac:dyDescent="0.25">
      <c r="AG67" s="99"/>
      <c r="AH67" s="99"/>
      <c r="AP67"/>
      <c r="AQ67"/>
      <c r="AW67"/>
    </row>
    <row r="68" spans="33:49" x14ac:dyDescent="0.25">
      <c r="AG68" s="99"/>
      <c r="AH68" s="99"/>
      <c r="AP68"/>
      <c r="AQ68"/>
    </row>
    <row r="69" spans="33:49" x14ac:dyDescent="0.25">
      <c r="AG69" s="99"/>
      <c r="AH69" s="99"/>
      <c r="AP69"/>
      <c r="AQ69"/>
    </row>
    <row r="70" spans="33:49" x14ac:dyDescent="0.25">
      <c r="AG70" s="99"/>
      <c r="AH70" s="99"/>
      <c r="AP70"/>
      <c r="AQ70"/>
    </row>
    <row r="71" spans="33:49" x14ac:dyDescent="0.25">
      <c r="AG71" s="99"/>
      <c r="AH71" s="99"/>
      <c r="AP71"/>
      <c r="AQ71"/>
    </row>
    <row r="72" spans="33:49" x14ac:dyDescent="0.25">
      <c r="AG72" s="99"/>
      <c r="AH72" s="99"/>
      <c r="AP72"/>
      <c r="AQ72"/>
    </row>
    <row r="73" spans="33:49" x14ac:dyDescent="0.25">
      <c r="AG73" s="99"/>
      <c r="AH73" s="99"/>
      <c r="AP73"/>
      <c r="AQ73"/>
    </row>
    <row r="74" spans="33:49" x14ac:dyDescent="0.25">
      <c r="AG74" s="99"/>
      <c r="AH74" s="99"/>
      <c r="AP74"/>
      <c r="AQ74"/>
    </row>
    <row r="75" spans="33:49" x14ac:dyDescent="0.25">
      <c r="AG75" s="99"/>
      <c r="AH75" s="99"/>
      <c r="AP75"/>
      <c r="AQ75"/>
    </row>
    <row r="76" spans="33:49" x14ac:dyDescent="0.25">
      <c r="AG76" s="99"/>
      <c r="AH76" s="99"/>
      <c r="AP76"/>
      <c r="AQ76"/>
    </row>
    <row r="77" spans="33:49" x14ac:dyDescent="0.25">
      <c r="AG77" s="99"/>
      <c r="AH77" s="99"/>
      <c r="AP77"/>
      <c r="AQ77"/>
    </row>
    <row r="78" spans="33:49" x14ac:dyDescent="0.25">
      <c r="AG78" s="99"/>
      <c r="AH78" s="99"/>
      <c r="AP78"/>
      <c r="AQ78"/>
    </row>
    <row r="79" spans="33:49" x14ac:dyDescent="0.25">
      <c r="AG79" s="99"/>
      <c r="AH79" s="99"/>
      <c r="AP79"/>
      <c r="AQ79"/>
    </row>
    <row r="80" spans="33:49" x14ac:dyDescent="0.25">
      <c r="AG80" s="99"/>
      <c r="AH80" s="99"/>
      <c r="AP80"/>
      <c r="AQ80"/>
    </row>
    <row r="81" spans="33:43" x14ac:dyDescent="0.25">
      <c r="AG81" s="99"/>
      <c r="AH81" s="99"/>
      <c r="AP81"/>
      <c r="AQ81"/>
    </row>
    <row r="82" spans="33:43" ht="30.6" customHeight="1" x14ac:dyDescent="0.25">
      <c r="AG82" s="99"/>
      <c r="AH82" s="99"/>
      <c r="AP82"/>
      <c r="AQ82"/>
    </row>
    <row r="83" spans="33:43" x14ac:dyDescent="0.25">
      <c r="AG83" s="99"/>
      <c r="AH83" s="99"/>
      <c r="AP83"/>
      <c r="AQ83"/>
    </row>
    <row r="84" spans="33:43" x14ac:dyDescent="0.25">
      <c r="AG84" s="99"/>
      <c r="AH84" s="99"/>
      <c r="AP84"/>
      <c r="AQ84"/>
    </row>
    <row r="85" spans="33:43" x14ac:dyDescent="0.25">
      <c r="AG85" s="99"/>
      <c r="AH85" s="99"/>
      <c r="AP85"/>
      <c r="AQ85"/>
    </row>
    <row r="86" spans="33:43" x14ac:dyDescent="0.25">
      <c r="AG86" s="99"/>
      <c r="AH86" s="99"/>
      <c r="AP86"/>
      <c r="AQ86"/>
    </row>
    <row r="87" spans="33:43" x14ac:dyDescent="0.25">
      <c r="AG87" s="99"/>
      <c r="AH87" s="99"/>
      <c r="AP87"/>
      <c r="AQ87"/>
    </row>
    <row r="88" spans="33:43" x14ac:dyDescent="0.25">
      <c r="AG88" s="99"/>
      <c r="AH88" s="99"/>
      <c r="AP88"/>
      <c r="AQ88"/>
    </row>
    <row r="89" spans="33:43" x14ac:dyDescent="0.25">
      <c r="AG89" s="99"/>
      <c r="AH89" s="99"/>
      <c r="AP89"/>
      <c r="AQ89"/>
    </row>
    <row r="90" spans="33:43" x14ac:dyDescent="0.25">
      <c r="AG90" s="99"/>
      <c r="AH90" s="99"/>
      <c r="AP90"/>
      <c r="AQ90"/>
    </row>
    <row r="91" spans="33:43" x14ac:dyDescent="0.25">
      <c r="AG91" s="99"/>
      <c r="AH91" s="99"/>
      <c r="AP91"/>
      <c r="AQ91"/>
    </row>
    <row r="92" spans="33:43" x14ac:dyDescent="0.25">
      <c r="AG92" s="99"/>
      <c r="AH92" s="99"/>
      <c r="AP92"/>
      <c r="AQ92"/>
    </row>
    <row r="93" spans="33:43" x14ac:dyDescent="0.25">
      <c r="AG93" s="99"/>
      <c r="AH93" s="99"/>
      <c r="AP93"/>
      <c r="AQ93"/>
    </row>
    <row r="94" spans="33:43" x14ac:dyDescent="0.25">
      <c r="AP94"/>
      <c r="AQ94"/>
    </row>
    <row r="95" spans="33:43" x14ac:dyDescent="0.25">
      <c r="AP95"/>
      <c r="AQ95"/>
    </row>
    <row r="96" spans="33:43" x14ac:dyDescent="0.25">
      <c r="AP96"/>
      <c r="AQ96"/>
    </row>
    <row r="97" spans="42:43" x14ac:dyDescent="0.25">
      <c r="AP97"/>
      <c r="AQ97"/>
    </row>
    <row r="98" spans="42:43" x14ac:dyDescent="0.25">
      <c r="AP98"/>
      <c r="AQ98"/>
    </row>
    <row r="99" spans="42:43" x14ac:dyDescent="0.25">
      <c r="AP99"/>
      <c r="AQ99"/>
    </row>
    <row r="100" spans="42:43" x14ac:dyDescent="0.25">
      <c r="AP100"/>
      <c r="AQ100"/>
    </row>
    <row r="101" spans="42:43" x14ac:dyDescent="0.25">
      <c r="AP101"/>
      <c r="AQ101"/>
    </row>
    <row r="102" spans="42:43" x14ac:dyDescent="0.25">
      <c r="AP102"/>
      <c r="AQ102"/>
    </row>
    <row r="103" spans="42:43" x14ac:dyDescent="0.25">
      <c r="AP103"/>
      <c r="AQ103"/>
    </row>
    <row r="104" spans="42:43" x14ac:dyDescent="0.25">
      <c r="AP104"/>
      <c r="AQ104"/>
    </row>
    <row r="105" spans="42:43" x14ac:dyDescent="0.25">
      <c r="AP105"/>
      <c r="AQ105"/>
    </row>
    <row r="106" spans="42:43" x14ac:dyDescent="0.25">
      <c r="AP106"/>
      <c r="AQ106"/>
    </row>
    <row r="107" spans="42:43" x14ac:dyDescent="0.25">
      <c r="AP107"/>
      <c r="AQ107"/>
    </row>
    <row r="108" spans="42:43" x14ac:dyDescent="0.25">
      <c r="AP108"/>
      <c r="AQ108"/>
    </row>
  </sheetData>
  <mergeCells count="7">
    <mergeCell ref="A19:B19"/>
    <mergeCell ref="Z23:AD23"/>
    <mergeCell ref="AT1:AW1"/>
    <mergeCell ref="AJ1:AM1"/>
    <mergeCell ref="A1:AF1"/>
    <mergeCell ref="B3:C3"/>
    <mergeCell ref="Z6:AD6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D4AD-0477-48F8-836A-570626F5284D}">
  <sheetPr codeName="Hoja5">
    <tabColor rgb="FF00B050"/>
  </sheetPr>
  <dimension ref="A1:AZ106"/>
  <sheetViews>
    <sheetView tabSelected="1" topLeftCell="I27" zoomScale="96" zoomScaleNormal="70" workbookViewId="0">
      <selection activeCell="T31" sqref="T31"/>
    </sheetView>
  </sheetViews>
  <sheetFormatPr baseColWidth="10" defaultRowHeight="15" x14ac:dyDescent="0.25"/>
  <cols>
    <col min="2" max="4" width="16.7109375" customWidth="1"/>
    <col min="5" max="5" width="18.42578125" customWidth="1"/>
    <col min="6" max="8" width="16.7109375" customWidth="1"/>
    <col min="9" max="9" width="14.140625" customWidth="1"/>
    <col min="16" max="16" width="14.5703125" customWidth="1"/>
    <col min="17" max="17" width="17.85546875" customWidth="1"/>
    <col min="18" max="18" width="14.5703125" customWidth="1"/>
    <col min="19" max="19" width="15.42578125" bestFit="1" customWidth="1"/>
    <col min="20" max="20" width="18.42578125" bestFit="1" customWidth="1"/>
    <col min="22" max="22" width="16" bestFit="1" customWidth="1"/>
    <col min="23" max="23" width="39" bestFit="1" customWidth="1"/>
    <col min="24" max="24" width="37.42578125" bestFit="1" customWidth="1"/>
    <col min="25" max="25" width="27.42578125" bestFit="1" customWidth="1"/>
    <col min="26" max="26" width="37.42578125" bestFit="1" customWidth="1"/>
    <col min="27" max="27" width="38.42578125" bestFit="1" customWidth="1"/>
    <col min="28" max="28" width="21.28515625" bestFit="1" customWidth="1"/>
    <col min="30" max="30" width="16" bestFit="1" customWidth="1"/>
    <col min="31" max="31" width="21.85546875" bestFit="1" customWidth="1"/>
    <col min="32" max="32" width="19.28515625" bestFit="1" customWidth="1"/>
    <col min="33" max="33" width="22.42578125" bestFit="1" customWidth="1"/>
    <col min="34" max="34" width="23.42578125" bestFit="1" customWidth="1"/>
    <col min="35" max="35" width="23.7109375" bestFit="1" customWidth="1"/>
    <col min="36" max="36" width="15.140625" bestFit="1" customWidth="1"/>
    <col min="38" max="38" width="16" bestFit="1" customWidth="1"/>
    <col min="39" max="39" width="26" bestFit="1" customWidth="1"/>
    <col min="40" max="40" width="24.42578125" bestFit="1" customWidth="1"/>
    <col min="41" max="41" width="13.7109375" bestFit="1" customWidth="1"/>
    <col min="42" max="42" width="22.7109375" bestFit="1" customWidth="1"/>
    <col min="43" max="43" width="25.28515625" bestFit="1" customWidth="1"/>
    <col min="44" max="44" width="21.28515625" bestFit="1" customWidth="1"/>
    <col min="46" max="46" width="16" bestFit="1" customWidth="1"/>
    <col min="47" max="47" width="14.5703125" bestFit="1" customWidth="1"/>
    <col min="48" max="48" width="14.42578125" bestFit="1" customWidth="1"/>
    <col min="49" max="49" width="23.140625" bestFit="1" customWidth="1"/>
    <col min="50" max="50" width="24.7109375" bestFit="1" customWidth="1"/>
    <col min="51" max="51" width="21.42578125" bestFit="1" customWidth="1"/>
    <col min="52" max="52" width="22.140625" bestFit="1" customWidth="1"/>
  </cols>
  <sheetData>
    <row r="1" spans="1:52" ht="28.5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V1" s="238" t="s">
        <v>27</v>
      </c>
      <c r="W1" t="s">
        <v>427</v>
      </c>
      <c r="AD1" s="238" t="s">
        <v>27</v>
      </c>
      <c r="AE1" t="s">
        <v>427</v>
      </c>
      <c r="AL1" s="238" t="s">
        <v>27</v>
      </c>
      <c r="AM1" t="s">
        <v>427</v>
      </c>
      <c r="AV1" s="273" t="s">
        <v>61</v>
      </c>
      <c r="AW1" s="274" t="s">
        <v>62</v>
      </c>
      <c r="AX1" s="274" t="s">
        <v>63</v>
      </c>
      <c r="AY1" s="274" t="s">
        <v>64</v>
      </c>
      <c r="AZ1" s="274" t="s">
        <v>65</v>
      </c>
    </row>
    <row r="2" spans="1:52" ht="14.25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AV2" s="275">
        <v>830</v>
      </c>
      <c r="AW2" s="275">
        <v>2900</v>
      </c>
      <c r="AX2" s="275">
        <v>6295</v>
      </c>
      <c r="AY2" s="275">
        <v>19050</v>
      </c>
      <c r="AZ2" s="275">
        <v>22050</v>
      </c>
    </row>
    <row r="3" spans="1:52" ht="29.25" thickBot="1" x14ac:dyDescent="0.3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V3" s="238" t="s">
        <v>79</v>
      </c>
      <c r="W3" t="s">
        <v>96</v>
      </c>
      <c r="X3" t="s">
        <v>95</v>
      </c>
      <c r="Y3" t="s">
        <v>229</v>
      </c>
      <c r="Z3" t="s">
        <v>93</v>
      </c>
      <c r="AA3" t="s">
        <v>230</v>
      </c>
      <c r="AB3" t="s">
        <v>231</v>
      </c>
      <c r="AD3" s="238" t="s">
        <v>79</v>
      </c>
      <c r="AE3" s="244" t="s">
        <v>236</v>
      </c>
      <c r="AF3" s="244" t="s">
        <v>235</v>
      </c>
      <c r="AG3" s="244" t="s">
        <v>232</v>
      </c>
      <c r="AH3" s="244" t="s">
        <v>233</v>
      </c>
      <c r="AI3" s="244" t="s">
        <v>234</v>
      </c>
      <c r="AJ3" s="244" t="s">
        <v>231</v>
      </c>
      <c r="AL3" s="238" t="s">
        <v>79</v>
      </c>
      <c r="AM3" t="s">
        <v>238</v>
      </c>
      <c r="AN3" t="s">
        <v>237</v>
      </c>
      <c r="AO3" t="s">
        <v>239</v>
      </c>
      <c r="AP3" t="s">
        <v>240</v>
      </c>
      <c r="AQ3" t="s">
        <v>241</v>
      </c>
      <c r="AR3" t="s">
        <v>231</v>
      </c>
      <c r="AT3" s="114" t="s">
        <v>79</v>
      </c>
      <c r="AU3" s="272" t="s">
        <v>227</v>
      </c>
      <c r="AV3" s="272" t="s">
        <v>353</v>
      </c>
      <c r="AW3" s="272" t="s">
        <v>354</v>
      </c>
      <c r="AX3" s="272" t="s">
        <v>355</v>
      </c>
      <c r="AY3" s="272" t="s">
        <v>356</v>
      </c>
      <c r="AZ3" s="272" t="s">
        <v>357</v>
      </c>
    </row>
    <row r="4" spans="1:52" ht="19.7" thickBot="1" x14ac:dyDescent="0.4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753" t="s">
        <v>248</v>
      </c>
      <c r="Q4" s="754"/>
      <c r="R4" s="754"/>
      <c r="S4" s="754"/>
      <c r="T4" s="755"/>
      <c r="U4" s="70"/>
      <c r="V4" s="428">
        <v>1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73">
        <v>0</v>
      </c>
      <c r="AD4" s="428">
        <v>1</v>
      </c>
      <c r="AE4" s="86">
        <v>0</v>
      </c>
      <c r="AF4" s="86">
        <v>0</v>
      </c>
      <c r="AG4" s="86">
        <v>0</v>
      </c>
      <c r="AH4" s="86">
        <v>0</v>
      </c>
      <c r="AI4" s="86">
        <v>0</v>
      </c>
      <c r="AJ4" s="73">
        <v>0</v>
      </c>
      <c r="AL4" s="428">
        <v>1</v>
      </c>
      <c r="AM4" s="86">
        <v>0</v>
      </c>
      <c r="AN4" s="86">
        <v>0</v>
      </c>
      <c r="AO4" s="86">
        <v>0</v>
      </c>
      <c r="AP4" s="86">
        <v>0</v>
      </c>
      <c r="AQ4" s="86">
        <v>0</v>
      </c>
      <c r="AR4" s="73">
        <v>0</v>
      </c>
      <c r="AT4" s="434">
        <v>1</v>
      </c>
      <c r="AU4" s="271">
        <v>0</v>
      </c>
      <c r="AV4" s="271">
        <v>0</v>
      </c>
      <c r="AW4" s="271">
        <v>0</v>
      </c>
      <c r="AX4" s="271">
        <v>0</v>
      </c>
      <c r="AY4" s="271">
        <v>0</v>
      </c>
      <c r="AZ4" s="271">
        <v>0</v>
      </c>
    </row>
    <row r="5" spans="1:52" ht="14.25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543"/>
      <c r="Q5" s="544" t="s">
        <v>247</v>
      </c>
      <c r="R5" s="544" t="s">
        <v>362</v>
      </c>
      <c r="S5" s="544" t="s">
        <v>363</v>
      </c>
      <c r="T5" s="545" t="s">
        <v>358</v>
      </c>
      <c r="U5" s="70"/>
      <c r="V5" s="428">
        <v>2</v>
      </c>
      <c r="W5" s="86">
        <v>2.8409090909090908</v>
      </c>
      <c r="X5" s="86">
        <v>2.8409090909090908</v>
      </c>
      <c r="Y5" s="86">
        <v>204.54545454545453</v>
      </c>
      <c r="Z5" s="86">
        <v>136.36363636363637</v>
      </c>
      <c r="AA5" s="86">
        <v>102.27272727272727</v>
      </c>
      <c r="AB5" s="73">
        <v>2001.6698863636364</v>
      </c>
      <c r="AD5" s="428">
        <v>2</v>
      </c>
      <c r="AE5" s="86">
        <v>10</v>
      </c>
      <c r="AF5" s="86">
        <v>10</v>
      </c>
      <c r="AG5" s="86">
        <v>180</v>
      </c>
      <c r="AH5" s="86">
        <v>120</v>
      </c>
      <c r="AI5" s="86">
        <v>90</v>
      </c>
      <c r="AJ5" s="73">
        <v>2001.6698863636364</v>
      </c>
      <c r="AL5" s="428">
        <v>2</v>
      </c>
      <c r="AM5" s="86">
        <v>10</v>
      </c>
      <c r="AN5" s="86">
        <v>10</v>
      </c>
      <c r="AO5" s="86">
        <v>234</v>
      </c>
      <c r="AP5" s="86">
        <v>159</v>
      </c>
      <c r="AQ5" s="86">
        <v>112.5</v>
      </c>
      <c r="AR5" s="73">
        <v>2001.6698863636364</v>
      </c>
      <c r="AT5" s="434">
        <v>2</v>
      </c>
      <c r="AU5" s="271">
        <v>2001.6698863636364</v>
      </c>
      <c r="AV5" s="271">
        <v>220.70454545454547</v>
      </c>
      <c r="AW5" s="271">
        <v>509.16136363636366</v>
      </c>
      <c r="AX5" s="271">
        <v>804.75852272727275</v>
      </c>
      <c r="AY5" s="271">
        <v>216.47727272727272</v>
      </c>
      <c r="AZ5" s="271">
        <v>250.56818181818181</v>
      </c>
    </row>
    <row r="6" spans="1:52" ht="14.25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536" t="s">
        <v>244</v>
      </c>
      <c r="Q6" s="283">
        <f>_xlfn.MINIFS(AA4:AA30,AA4:AA30,"&lt;&gt;0")</f>
        <v>37.5</v>
      </c>
      <c r="R6" s="283">
        <f>_xlfn.MINIFS(AI4:AI30,AI4:AI30,"&lt;&gt;0")</f>
        <v>30</v>
      </c>
      <c r="S6" s="283">
        <f>_xlfn.MINIFS(AQ4:AQ30,AQ4:AQ30,"&lt;&gt;0")</f>
        <v>37.5</v>
      </c>
      <c r="T6" s="538">
        <f>_xlfn.MINIFS(AX4:AX30,AX4:AX30,"&lt;&gt;0")</f>
        <v>295.078125</v>
      </c>
      <c r="V6" s="428">
        <v>3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73">
        <v>0</v>
      </c>
      <c r="AD6" s="428">
        <v>3</v>
      </c>
      <c r="AE6" s="86">
        <v>0</v>
      </c>
      <c r="AF6" s="86">
        <v>0</v>
      </c>
      <c r="AG6" s="86">
        <v>0</v>
      </c>
      <c r="AH6" s="86">
        <v>0</v>
      </c>
      <c r="AI6" s="86">
        <v>0</v>
      </c>
      <c r="AJ6" s="73">
        <v>0</v>
      </c>
      <c r="AL6" s="428">
        <v>3</v>
      </c>
      <c r="AM6" s="86">
        <v>0</v>
      </c>
      <c r="AN6" s="86">
        <v>0</v>
      </c>
      <c r="AO6" s="86">
        <v>0</v>
      </c>
      <c r="AP6" s="86">
        <v>0</v>
      </c>
      <c r="AQ6" s="86">
        <v>0</v>
      </c>
      <c r="AR6" s="73">
        <v>0</v>
      </c>
      <c r="AT6" s="434">
        <v>3</v>
      </c>
      <c r="AU6" s="271">
        <v>0</v>
      </c>
      <c r="AV6" s="271">
        <v>0</v>
      </c>
      <c r="AW6" s="271">
        <v>0</v>
      </c>
      <c r="AX6" s="271">
        <v>0</v>
      </c>
      <c r="AY6" s="271">
        <v>0</v>
      </c>
      <c r="AZ6" s="271">
        <v>0</v>
      </c>
    </row>
    <row r="7" spans="1:52" ht="14.25" x14ac:dyDescent="0.2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536" t="s">
        <v>245</v>
      </c>
      <c r="Q7" s="283">
        <f>MAX(AA4:AA30)</f>
        <v>190.78947368421052</v>
      </c>
      <c r="R7" s="283">
        <f>MAX(AI4:AI30)</f>
        <v>305</v>
      </c>
      <c r="S7" s="283">
        <f>MAX(AQ4:AQ30)</f>
        <v>381.25</v>
      </c>
      <c r="T7" s="538">
        <f>MAX(AX4:AX30)</f>
        <v>1501.2746710526317</v>
      </c>
      <c r="V7" s="428">
        <v>4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73">
        <v>0</v>
      </c>
      <c r="AD7" s="428">
        <v>4</v>
      </c>
      <c r="AE7" s="86">
        <v>0</v>
      </c>
      <c r="AF7" s="86">
        <v>0</v>
      </c>
      <c r="AG7" s="86">
        <v>0</v>
      </c>
      <c r="AH7" s="86">
        <v>0</v>
      </c>
      <c r="AI7" s="86">
        <v>0</v>
      </c>
      <c r="AJ7" s="73">
        <v>0</v>
      </c>
      <c r="AL7" s="428">
        <v>4</v>
      </c>
      <c r="AM7" s="86">
        <v>0</v>
      </c>
      <c r="AN7" s="86">
        <v>0</v>
      </c>
      <c r="AO7" s="86">
        <v>0</v>
      </c>
      <c r="AP7" s="86">
        <v>0</v>
      </c>
      <c r="AQ7" s="86">
        <v>0</v>
      </c>
      <c r="AR7" s="73">
        <v>0</v>
      </c>
      <c r="AT7" s="434">
        <v>4</v>
      </c>
      <c r="AU7" s="271">
        <v>0</v>
      </c>
      <c r="AV7" s="271">
        <v>0</v>
      </c>
      <c r="AW7" s="271">
        <v>0</v>
      </c>
      <c r="AX7" s="271">
        <v>0</v>
      </c>
      <c r="AY7" s="271">
        <v>0</v>
      </c>
      <c r="AZ7" s="271">
        <v>0</v>
      </c>
    </row>
    <row r="8" spans="1:52" ht="14.25" x14ac:dyDescent="0.25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536" t="s">
        <v>246</v>
      </c>
      <c r="Q8" s="285">
        <f>AVERAGEIF(AA4:AA30,"&lt;&gt;0")</f>
        <v>114.80291048384164</v>
      </c>
      <c r="R8" s="285">
        <f>AVERAGEIF(AI4:AI30,"&lt;&gt;0")</f>
        <v>154.76190476190476</v>
      </c>
      <c r="S8" s="285">
        <f>AVERAGEIF(AQ4:AQ30,"&lt;&gt;0")</f>
        <v>193.45238095238096</v>
      </c>
      <c r="T8" s="538">
        <f>AVERAGEIF(AX4:AX30,"&lt;&gt;0")</f>
        <v>903.35540186972889</v>
      </c>
      <c r="V8" s="428">
        <v>5</v>
      </c>
      <c r="W8" s="86">
        <v>0</v>
      </c>
      <c r="X8" s="86">
        <v>0</v>
      </c>
      <c r="Y8" s="86">
        <v>0</v>
      </c>
      <c r="Z8" s="86">
        <v>0</v>
      </c>
      <c r="AA8" s="86">
        <v>0</v>
      </c>
      <c r="AB8" s="73">
        <v>0</v>
      </c>
      <c r="AD8" s="428">
        <v>5</v>
      </c>
      <c r="AE8" s="86">
        <v>0</v>
      </c>
      <c r="AF8" s="86">
        <v>0</v>
      </c>
      <c r="AG8" s="86">
        <v>0</v>
      </c>
      <c r="AH8" s="86">
        <v>0</v>
      </c>
      <c r="AI8" s="86">
        <v>0</v>
      </c>
      <c r="AJ8" s="73">
        <v>0</v>
      </c>
      <c r="AL8" s="428">
        <v>5</v>
      </c>
      <c r="AM8" s="86">
        <v>0</v>
      </c>
      <c r="AN8" s="86">
        <v>0</v>
      </c>
      <c r="AO8" s="86">
        <v>0</v>
      </c>
      <c r="AP8" s="86">
        <v>0</v>
      </c>
      <c r="AQ8" s="86">
        <v>0</v>
      </c>
      <c r="AR8" s="73">
        <v>0</v>
      </c>
      <c r="AT8" s="434">
        <v>5</v>
      </c>
      <c r="AU8" s="271">
        <v>0</v>
      </c>
      <c r="AV8" s="271">
        <v>0</v>
      </c>
      <c r="AW8" s="271">
        <v>0</v>
      </c>
      <c r="AX8" s="271">
        <v>0</v>
      </c>
      <c r="AY8" s="271">
        <v>0</v>
      </c>
      <c r="AZ8" s="271">
        <v>0</v>
      </c>
    </row>
    <row r="9" spans="1:52" thickBot="1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551" t="s">
        <v>352</v>
      </c>
      <c r="Q9" s="533"/>
      <c r="R9" s="534">
        <f>GETPIVOTDATA("CONSUMO LITROS DECOLORANTE (L) ",$AD$3)</f>
        <v>3840</v>
      </c>
      <c r="S9" s="534">
        <f>GETPIVOTDATA("KG DECOLORANTE  ",$AL$3)</f>
        <v>4800</v>
      </c>
      <c r="T9" s="550">
        <f>S9*AX2</f>
        <v>30216000</v>
      </c>
      <c r="V9" s="428">
        <v>6</v>
      </c>
      <c r="W9" s="86">
        <v>3.6057692307692308</v>
      </c>
      <c r="X9" s="86">
        <v>1.2019230769230769</v>
      </c>
      <c r="Y9" s="86">
        <v>144.23076923076923</v>
      </c>
      <c r="Z9" s="86">
        <v>413.46153846153845</v>
      </c>
      <c r="AA9" s="86">
        <v>67.307692307692307</v>
      </c>
      <c r="AB9" s="73">
        <v>2638.6711538461536</v>
      </c>
      <c r="AD9" s="428">
        <v>6</v>
      </c>
      <c r="AE9" s="86">
        <v>15</v>
      </c>
      <c r="AF9" s="86">
        <v>5</v>
      </c>
      <c r="AG9" s="86">
        <v>150</v>
      </c>
      <c r="AH9" s="86">
        <v>430</v>
      </c>
      <c r="AI9" s="86">
        <v>70</v>
      </c>
      <c r="AJ9" s="73">
        <v>2638.6711538461536</v>
      </c>
      <c r="AL9" s="428">
        <v>6</v>
      </c>
      <c r="AM9" s="86">
        <v>15</v>
      </c>
      <c r="AN9" s="86">
        <v>5</v>
      </c>
      <c r="AO9" s="86">
        <v>195</v>
      </c>
      <c r="AP9" s="86">
        <v>569.75</v>
      </c>
      <c r="AQ9" s="86">
        <v>87.5</v>
      </c>
      <c r="AR9" s="73">
        <v>2638.6711538461536</v>
      </c>
      <c r="AT9" s="434">
        <v>6</v>
      </c>
      <c r="AU9" s="271">
        <v>2638.6711538461536</v>
      </c>
      <c r="AV9" s="271">
        <v>155.625</v>
      </c>
      <c r="AW9" s="271">
        <v>1543.8033653846153</v>
      </c>
      <c r="AX9" s="271">
        <v>529.62740384615381</v>
      </c>
      <c r="AY9" s="271">
        <v>91.586538461538467</v>
      </c>
      <c r="AZ9" s="271">
        <v>318.02884615384613</v>
      </c>
    </row>
    <row r="10" spans="1:52" x14ac:dyDescent="0.25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747" t="s">
        <v>414</v>
      </c>
      <c r="Q10" s="748"/>
      <c r="R10" s="748"/>
      <c r="S10" s="535">
        <v>0.23755146338873881</v>
      </c>
      <c r="T10" s="553">
        <v>1495.4</v>
      </c>
      <c r="V10" s="428">
        <v>7</v>
      </c>
      <c r="W10" s="86">
        <v>2.3169601482854496</v>
      </c>
      <c r="X10" s="86">
        <v>1.1584800741427248</v>
      </c>
      <c r="Y10" s="86">
        <v>139.01760889712696</v>
      </c>
      <c r="Z10" s="86">
        <v>389.24930491195551</v>
      </c>
      <c r="AA10" s="86">
        <v>111.21408711770158</v>
      </c>
      <c r="AB10" s="73">
        <v>2771.1464318813714</v>
      </c>
      <c r="AD10" s="428">
        <v>7</v>
      </c>
      <c r="AE10" s="86">
        <v>10</v>
      </c>
      <c r="AF10" s="86">
        <v>5</v>
      </c>
      <c r="AG10" s="86">
        <v>150</v>
      </c>
      <c r="AH10" s="86">
        <v>420</v>
      </c>
      <c r="AI10" s="86">
        <v>120</v>
      </c>
      <c r="AJ10" s="73">
        <v>2771.1464318813714</v>
      </c>
      <c r="AL10" s="428">
        <v>7</v>
      </c>
      <c r="AM10" s="86">
        <v>10</v>
      </c>
      <c r="AN10" s="86">
        <v>5</v>
      </c>
      <c r="AO10" s="86">
        <v>195</v>
      </c>
      <c r="AP10" s="86">
        <v>556.5</v>
      </c>
      <c r="AQ10" s="86">
        <v>150</v>
      </c>
      <c r="AR10" s="73">
        <v>2771.1464318813714</v>
      </c>
      <c r="AT10" s="434">
        <v>7</v>
      </c>
      <c r="AU10" s="271">
        <v>2771.1464318813714</v>
      </c>
      <c r="AV10" s="271">
        <v>150</v>
      </c>
      <c r="AW10" s="271">
        <v>1453.3985171455051</v>
      </c>
      <c r="AX10" s="271">
        <v>875.11584800741423</v>
      </c>
      <c r="AY10" s="271">
        <v>88.276181649675621</v>
      </c>
      <c r="AZ10" s="271">
        <v>204.35588507877665</v>
      </c>
    </row>
    <row r="11" spans="1:52" ht="14.25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749" t="s">
        <v>415</v>
      </c>
      <c r="Q11" s="750"/>
      <c r="R11" s="750"/>
      <c r="S11" s="547">
        <f>S9/F82</f>
        <v>0.14808416116492873</v>
      </c>
      <c r="T11" s="538">
        <f>T9/F82</f>
        <v>932.1897945332264</v>
      </c>
      <c r="V11" s="428">
        <v>8</v>
      </c>
      <c r="W11" s="86">
        <v>2.0833333333333335</v>
      </c>
      <c r="X11" s="86">
        <v>1.0416666666666667</v>
      </c>
      <c r="Y11" s="86">
        <v>308.33333333333331</v>
      </c>
      <c r="Z11" s="86">
        <v>283.33333333333331</v>
      </c>
      <c r="AA11" s="86">
        <v>83.333333333333329</v>
      </c>
      <c r="AB11" s="73">
        <v>2309.4699999999998</v>
      </c>
      <c r="AD11" s="428">
        <v>8</v>
      </c>
      <c r="AE11" s="86">
        <v>10</v>
      </c>
      <c r="AF11" s="86">
        <v>5</v>
      </c>
      <c r="AG11" s="86">
        <v>370</v>
      </c>
      <c r="AH11" s="86">
        <v>340</v>
      </c>
      <c r="AI11" s="86">
        <v>100</v>
      </c>
      <c r="AJ11" s="73">
        <v>2309.4699999999998</v>
      </c>
      <c r="AL11" s="428">
        <v>8</v>
      </c>
      <c r="AM11" s="86">
        <v>10</v>
      </c>
      <c r="AN11" s="86">
        <v>5</v>
      </c>
      <c r="AO11" s="86">
        <v>481</v>
      </c>
      <c r="AP11" s="86">
        <v>450.5</v>
      </c>
      <c r="AQ11" s="86">
        <v>125</v>
      </c>
      <c r="AR11" s="73">
        <v>2309.4699999999998</v>
      </c>
      <c r="AT11" s="434">
        <v>8</v>
      </c>
      <c r="AU11" s="271">
        <v>2309.4699999999998</v>
      </c>
      <c r="AV11" s="271">
        <v>332.69166666666666</v>
      </c>
      <c r="AW11" s="271">
        <v>1057.9241666666667</v>
      </c>
      <c r="AX11" s="271">
        <v>655.72916666666663</v>
      </c>
      <c r="AY11" s="271">
        <v>79.375</v>
      </c>
      <c r="AZ11" s="271">
        <v>183.75</v>
      </c>
    </row>
    <row r="12" spans="1:52" x14ac:dyDescent="0.2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749" t="s">
        <v>416</v>
      </c>
      <c r="Q12" s="750"/>
      <c r="R12" s="750"/>
      <c r="S12" s="548">
        <v>6027</v>
      </c>
      <c r="T12" s="538">
        <v>37939765.914243862</v>
      </c>
      <c r="V12" s="428">
        <v>9</v>
      </c>
      <c r="W12" s="86">
        <v>2.9296875</v>
      </c>
      <c r="X12" s="86">
        <v>1.953125</v>
      </c>
      <c r="Y12" s="86">
        <v>335.9375</v>
      </c>
      <c r="Z12" s="86">
        <v>164.0625</v>
      </c>
      <c r="AA12" s="86">
        <v>54.6875</v>
      </c>
      <c r="AB12" s="73">
        <v>1812.61015625</v>
      </c>
      <c r="AD12" s="428">
        <v>9</v>
      </c>
      <c r="AE12" s="86">
        <v>15</v>
      </c>
      <c r="AF12" s="86">
        <v>10</v>
      </c>
      <c r="AG12" s="86">
        <v>430</v>
      </c>
      <c r="AH12" s="86">
        <v>210</v>
      </c>
      <c r="AI12" s="86">
        <v>70</v>
      </c>
      <c r="AJ12" s="73">
        <v>1812.61015625</v>
      </c>
      <c r="AL12" s="428">
        <v>9</v>
      </c>
      <c r="AM12" s="86">
        <v>15</v>
      </c>
      <c r="AN12" s="86">
        <v>10</v>
      </c>
      <c r="AO12" s="86">
        <v>559</v>
      </c>
      <c r="AP12" s="86">
        <v>278.25</v>
      </c>
      <c r="AQ12" s="86">
        <v>87.5</v>
      </c>
      <c r="AR12" s="73">
        <v>1812.61015625</v>
      </c>
      <c r="AT12" s="434">
        <v>9</v>
      </c>
      <c r="AU12" s="271">
        <v>1812.61015625</v>
      </c>
      <c r="AV12" s="271">
        <v>362.4765625</v>
      </c>
      <c r="AW12" s="271">
        <v>612.58476562500005</v>
      </c>
      <c r="AX12" s="271">
        <v>430.322265625</v>
      </c>
      <c r="AY12" s="271">
        <v>148.828125</v>
      </c>
      <c r="AZ12" s="271">
        <v>258.3984375</v>
      </c>
    </row>
    <row r="13" spans="1:52" thickBot="1" x14ac:dyDescent="0.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751" t="s">
        <v>417</v>
      </c>
      <c r="Q13" s="752"/>
      <c r="R13" s="752"/>
      <c r="S13" s="549">
        <f>+S9</f>
        <v>4800</v>
      </c>
      <c r="T13" s="552">
        <f>+T9</f>
        <v>30216000</v>
      </c>
      <c r="V13" s="428">
        <v>10</v>
      </c>
      <c r="W13" s="86">
        <v>2.4671052631578947</v>
      </c>
      <c r="X13" s="86">
        <v>1.6447368421052631</v>
      </c>
      <c r="Y13" s="86">
        <v>131.57894736842104</v>
      </c>
      <c r="Z13" s="86">
        <v>276.31578947368422</v>
      </c>
      <c r="AA13" s="86">
        <v>92.10526315789474</v>
      </c>
      <c r="AB13" s="73">
        <v>2241.3763157894737</v>
      </c>
      <c r="AD13" s="428">
        <v>10</v>
      </c>
      <c r="AE13" s="86">
        <v>15</v>
      </c>
      <c r="AF13" s="86">
        <v>10</v>
      </c>
      <c r="AG13" s="86">
        <v>200</v>
      </c>
      <c r="AH13" s="86">
        <v>420</v>
      </c>
      <c r="AI13" s="86">
        <v>140</v>
      </c>
      <c r="AJ13" s="73">
        <v>2241.3763157894737</v>
      </c>
      <c r="AL13" s="428">
        <v>10</v>
      </c>
      <c r="AM13" s="86">
        <v>15</v>
      </c>
      <c r="AN13" s="86">
        <v>10</v>
      </c>
      <c r="AO13" s="86">
        <v>260</v>
      </c>
      <c r="AP13" s="86">
        <v>556.5</v>
      </c>
      <c r="AQ13" s="86">
        <v>175</v>
      </c>
      <c r="AR13" s="73">
        <v>2241.3763157894737</v>
      </c>
      <c r="AT13" s="434">
        <v>10</v>
      </c>
      <c r="AU13" s="271">
        <v>2241.3763157894737</v>
      </c>
      <c r="AV13" s="271">
        <v>141.97368421052633</v>
      </c>
      <c r="AW13" s="271">
        <v>1031.7217105263157</v>
      </c>
      <c r="AX13" s="271">
        <v>724.75328947368416</v>
      </c>
      <c r="AY13" s="271">
        <v>125.32894736842105</v>
      </c>
      <c r="AZ13" s="271">
        <v>217.59868421052633</v>
      </c>
    </row>
    <row r="14" spans="1:52" thickBo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V14" s="428">
        <v>11</v>
      </c>
      <c r="W14" s="86">
        <v>2.4038461538461537</v>
      </c>
      <c r="X14" s="86">
        <v>0</v>
      </c>
      <c r="Y14" s="86">
        <v>173.07692307692307</v>
      </c>
      <c r="Z14" s="86">
        <v>355.76923076923077</v>
      </c>
      <c r="AA14" s="86">
        <v>182.69230769230768</v>
      </c>
      <c r="AB14" s="73">
        <v>3164.7182692307692</v>
      </c>
      <c r="AD14" s="428">
        <v>11</v>
      </c>
      <c r="AE14" s="86">
        <v>10</v>
      </c>
      <c r="AF14" s="86">
        <v>0</v>
      </c>
      <c r="AG14" s="86">
        <v>180</v>
      </c>
      <c r="AH14" s="86">
        <v>370</v>
      </c>
      <c r="AI14" s="86">
        <v>190</v>
      </c>
      <c r="AJ14" s="73">
        <v>3164.7182692307692</v>
      </c>
      <c r="AL14" s="428">
        <v>11</v>
      </c>
      <c r="AM14" s="86">
        <v>10</v>
      </c>
      <c r="AN14" s="86">
        <v>0</v>
      </c>
      <c r="AO14" s="86">
        <v>234</v>
      </c>
      <c r="AP14" s="86">
        <v>490.25</v>
      </c>
      <c r="AQ14" s="86">
        <v>237.5</v>
      </c>
      <c r="AR14" s="73">
        <v>3164.7182692307692</v>
      </c>
      <c r="AT14" s="123">
        <v>11</v>
      </c>
      <c r="AU14" s="271">
        <v>3164.7182692307692</v>
      </c>
      <c r="AV14" s="271">
        <v>186.75</v>
      </c>
      <c r="AW14" s="271">
        <v>1328.3889423076923</v>
      </c>
      <c r="AX14" s="271">
        <v>1437.5600961538462</v>
      </c>
      <c r="AY14" s="271">
        <v>0</v>
      </c>
      <c r="AZ14" s="271">
        <v>212.01923076923077</v>
      </c>
    </row>
    <row r="15" spans="1:52" ht="19.7" thickBot="1" x14ac:dyDescent="0.4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753" t="s">
        <v>249</v>
      </c>
      <c r="Q15" s="754"/>
      <c r="R15" s="754"/>
      <c r="S15" s="754"/>
      <c r="T15" s="755"/>
      <c r="V15" s="428">
        <v>12</v>
      </c>
      <c r="W15" s="86">
        <v>0</v>
      </c>
      <c r="X15" s="86">
        <v>0</v>
      </c>
      <c r="Y15" s="86">
        <v>0</v>
      </c>
      <c r="Z15" s="86">
        <v>0</v>
      </c>
      <c r="AA15" s="86">
        <v>0</v>
      </c>
      <c r="AB15" s="73">
        <v>0</v>
      </c>
      <c r="AD15" s="428">
        <v>12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73">
        <v>0</v>
      </c>
      <c r="AL15" s="428">
        <v>12</v>
      </c>
      <c r="AM15" s="86">
        <v>0</v>
      </c>
      <c r="AN15" s="86">
        <v>0</v>
      </c>
      <c r="AO15" s="86">
        <v>0</v>
      </c>
      <c r="AP15" s="86">
        <v>0</v>
      </c>
      <c r="AQ15" s="86">
        <v>0</v>
      </c>
      <c r="AR15" s="73">
        <v>0</v>
      </c>
      <c r="AT15" s="434">
        <v>12</v>
      </c>
      <c r="AU15" s="271">
        <v>0</v>
      </c>
      <c r="AV15" s="271">
        <v>0</v>
      </c>
      <c r="AW15" s="271">
        <v>0</v>
      </c>
      <c r="AX15" s="271">
        <v>0</v>
      </c>
      <c r="AY15" s="271">
        <v>0</v>
      </c>
      <c r="AZ15" s="271">
        <v>0</v>
      </c>
    </row>
    <row r="16" spans="1:52" ht="14.25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543"/>
      <c r="Q16" s="544" t="s">
        <v>247</v>
      </c>
      <c r="R16" s="544" t="s">
        <v>362</v>
      </c>
      <c r="S16" s="544" t="s">
        <v>363</v>
      </c>
      <c r="T16" s="545" t="s">
        <v>358</v>
      </c>
      <c r="V16" s="428">
        <v>13</v>
      </c>
      <c r="W16" s="86">
        <v>3.6764705882352939</v>
      </c>
      <c r="X16" s="86">
        <v>0.91911764705882348</v>
      </c>
      <c r="Y16" s="86">
        <v>257.35294117647061</v>
      </c>
      <c r="Z16" s="86">
        <v>220.58823529411765</v>
      </c>
      <c r="AA16" s="86">
        <v>110.29411764705883</v>
      </c>
      <c r="AB16" s="73">
        <v>2363.5055147058824</v>
      </c>
      <c r="AD16" s="428">
        <v>13</v>
      </c>
      <c r="AE16" s="86">
        <v>20</v>
      </c>
      <c r="AF16" s="86">
        <v>5</v>
      </c>
      <c r="AG16" s="86">
        <v>350</v>
      </c>
      <c r="AH16" s="86">
        <v>300</v>
      </c>
      <c r="AI16" s="86">
        <v>150</v>
      </c>
      <c r="AJ16" s="73">
        <v>2363.5055147058824</v>
      </c>
      <c r="AL16" s="428">
        <v>13</v>
      </c>
      <c r="AM16" s="86">
        <v>20</v>
      </c>
      <c r="AN16" s="86">
        <v>5</v>
      </c>
      <c r="AO16" s="86">
        <v>455</v>
      </c>
      <c r="AP16" s="86">
        <v>397.5</v>
      </c>
      <c r="AQ16" s="86">
        <v>187.5</v>
      </c>
      <c r="AR16" s="73">
        <v>2363.5055147058824</v>
      </c>
      <c r="AT16" s="434">
        <v>13</v>
      </c>
      <c r="AU16" s="271">
        <v>2363.5055147058824</v>
      </c>
      <c r="AV16" s="271">
        <v>277.68382352941177</v>
      </c>
      <c r="AW16" s="271">
        <v>823.64338235294122</v>
      </c>
      <c r="AX16" s="271">
        <v>867.87683823529414</v>
      </c>
      <c r="AY16" s="271">
        <v>70.036764705882348</v>
      </c>
      <c r="AZ16" s="271">
        <v>324.26470588235293</v>
      </c>
    </row>
    <row r="17" spans="1:52" ht="14.25" x14ac:dyDescent="0.2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536" t="s">
        <v>244</v>
      </c>
      <c r="Q17" s="283">
        <f>_xlfn.MINIFS(Z4:Z30,Z4:Z30,"&lt;&gt;0")</f>
        <v>125</v>
      </c>
      <c r="R17" s="283">
        <f>_xlfn.MINIFS(AH4:AH30,AH4:AH30,"&lt;&gt;0")</f>
        <v>100</v>
      </c>
      <c r="S17" s="283">
        <f>_xlfn.MINIFS(AP4:AP30,AP4:AP30,"&lt;&gt;0")</f>
        <v>132.5</v>
      </c>
      <c r="T17" s="538">
        <f>_xlfn.MINIFS(AW4:AW30,AW4:AW30,"&lt;&gt;0")</f>
        <v>466.73124999999999</v>
      </c>
      <c r="V17" s="428">
        <v>14</v>
      </c>
      <c r="W17" s="86">
        <v>3.90625</v>
      </c>
      <c r="X17" s="86">
        <v>2.9296875</v>
      </c>
      <c r="Y17" s="86">
        <v>156.25</v>
      </c>
      <c r="Z17" s="86">
        <v>445.3125</v>
      </c>
      <c r="AA17" s="86">
        <v>93.75</v>
      </c>
      <c r="AB17" s="73">
        <v>3136.7925781250001</v>
      </c>
      <c r="AD17" s="428">
        <v>14</v>
      </c>
      <c r="AE17" s="86">
        <v>20</v>
      </c>
      <c r="AF17" s="86">
        <v>15</v>
      </c>
      <c r="AG17" s="86">
        <v>200</v>
      </c>
      <c r="AH17" s="86">
        <v>570</v>
      </c>
      <c r="AI17" s="86">
        <v>120</v>
      </c>
      <c r="AJ17" s="73">
        <v>3136.7925781250001</v>
      </c>
      <c r="AL17" s="428">
        <v>14</v>
      </c>
      <c r="AM17" s="86">
        <v>20</v>
      </c>
      <c r="AN17" s="86">
        <v>15</v>
      </c>
      <c r="AO17" s="86">
        <v>260</v>
      </c>
      <c r="AP17" s="86">
        <v>755.25</v>
      </c>
      <c r="AQ17" s="86">
        <v>150</v>
      </c>
      <c r="AR17" s="73">
        <v>3136.7925781250001</v>
      </c>
      <c r="AT17" s="434">
        <v>14</v>
      </c>
      <c r="AU17" s="271">
        <v>3136.7925781250001</v>
      </c>
      <c r="AV17" s="271">
        <v>168.59375</v>
      </c>
      <c r="AW17" s="271">
        <v>1662.7300781250001</v>
      </c>
      <c r="AX17" s="271">
        <v>737.6953125</v>
      </c>
      <c r="AY17" s="271">
        <v>223.2421875</v>
      </c>
      <c r="AZ17" s="271">
        <v>344.53125</v>
      </c>
    </row>
    <row r="18" spans="1:52" ht="14.25" x14ac:dyDescent="0.25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536" t="s">
        <v>245</v>
      </c>
      <c r="Q18" s="283">
        <f>MAX(Z4:Z30)</f>
        <v>445.3125</v>
      </c>
      <c r="R18" s="283">
        <f>MAX(AH4:AH30)</f>
        <v>650</v>
      </c>
      <c r="S18" s="283">
        <f>MAX(AP4:AP30)</f>
        <v>861.25</v>
      </c>
      <c r="T18" s="538">
        <f>MAX(AW4:AW30)</f>
        <v>1662.7300781250001</v>
      </c>
      <c r="V18" s="428">
        <v>15</v>
      </c>
      <c r="W18" s="86">
        <v>4.166666666666667</v>
      </c>
      <c r="X18" s="86">
        <v>1.0416666666666667</v>
      </c>
      <c r="Y18" s="86">
        <v>166.66666666666666</v>
      </c>
      <c r="Z18" s="86">
        <v>291.66666666666669</v>
      </c>
      <c r="AA18" s="86">
        <v>150</v>
      </c>
      <c r="AB18" s="73">
        <v>2896.0604166666667</v>
      </c>
      <c r="AD18" s="428">
        <v>15</v>
      </c>
      <c r="AE18" s="86">
        <v>20</v>
      </c>
      <c r="AF18" s="86">
        <v>5</v>
      </c>
      <c r="AG18" s="86">
        <v>200</v>
      </c>
      <c r="AH18" s="86">
        <v>350</v>
      </c>
      <c r="AI18" s="86">
        <v>180</v>
      </c>
      <c r="AJ18" s="73">
        <v>2896.0604166666667</v>
      </c>
      <c r="AL18" s="428">
        <v>15</v>
      </c>
      <c r="AM18" s="86">
        <v>20</v>
      </c>
      <c r="AN18" s="86">
        <v>5</v>
      </c>
      <c r="AO18" s="86">
        <v>260</v>
      </c>
      <c r="AP18" s="86">
        <v>463.75</v>
      </c>
      <c r="AQ18" s="86">
        <v>225</v>
      </c>
      <c r="AR18" s="73">
        <v>2896.0604166666667</v>
      </c>
      <c r="AT18" s="434">
        <v>15</v>
      </c>
      <c r="AU18" s="271">
        <v>2896.0604166666667</v>
      </c>
      <c r="AV18" s="271">
        <v>179.83333333333334</v>
      </c>
      <c r="AW18" s="271">
        <v>1089.0395833333334</v>
      </c>
      <c r="AX18" s="271">
        <v>1180.3125</v>
      </c>
      <c r="AY18" s="271">
        <v>79.375</v>
      </c>
      <c r="AZ18" s="271">
        <v>367.5</v>
      </c>
    </row>
    <row r="19" spans="1:52" ht="14.25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536" t="s">
        <v>246</v>
      </c>
      <c r="Q19" s="285">
        <f>AVERAGEIF(Z4:Z30,"&lt;&gt;0")</f>
        <v>291.80825004991209</v>
      </c>
      <c r="R19" s="285">
        <f>AVERAGEIF(AH4:AH30,"&lt;&gt;0")</f>
        <v>388.57142857142856</v>
      </c>
      <c r="S19" s="285">
        <f>AVERAGEIF(AP4:AP30,"&lt;&gt;0")</f>
        <v>514.85714285714289</v>
      </c>
      <c r="T19" s="538">
        <f>AVERAGEIF(AW4:AW30,"&lt;&gt;0")</f>
        <v>1089.5682344488644</v>
      </c>
      <c r="V19" s="428">
        <v>16</v>
      </c>
      <c r="W19" s="86">
        <v>1.5625</v>
      </c>
      <c r="X19" s="86">
        <v>1.5625</v>
      </c>
      <c r="Y19" s="86">
        <v>200</v>
      </c>
      <c r="Z19" s="86">
        <v>318.75</v>
      </c>
      <c r="AA19" s="86">
        <v>125</v>
      </c>
      <c r="AB19" s="73">
        <v>2646.4334374999999</v>
      </c>
      <c r="AD19" s="428">
        <v>16</v>
      </c>
      <c r="AE19" s="86">
        <v>10</v>
      </c>
      <c r="AF19" s="86">
        <v>10</v>
      </c>
      <c r="AG19" s="86">
        <v>320</v>
      </c>
      <c r="AH19" s="86">
        <v>510</v>
      </c>
      <c r="AI19" s="86">
        <v>200</v>
      </c>
      <c r="AJ19" s="73">
        <v>2646.4334374999999</v>
      </c>
      <c r="AL19" s="428">
        <v>16</v>
      </c>
      <c r="AM19" s="86">
        <v>10</v>
      </c>
      <c r="AN19" s="86">
        <v>10</v>
      </c>
      <c r="AO19" s="86">
        <v>416</v>
      </c>
      <c r="AP19" s="86">
        <v>675.75</v>
      </c>
      <c r="AQ19" s="86">
        <v>250</v>
      </c>
      <c r="AR19" s="73">
        <v>2646.4334374999999</v>
      </c>
      <c r="AT19" s="434">
        <v>16</v>
      </c>
      <c r="AU19" s="271">
        <v>2646.4334374999999</v>
      </c>
      <c r="AV19" s="271">
        <v>215.8</v>
      </c>
      <c r="AW19" s="271">
        <v>1190.1646874999999</v>
      </c>
      <c r="AX19" s="271">
        <v>983.59375</v>
      </c>
      <c r="AY19" s="271">
        <v>119.0625</v>
      </c>
      <c r="AZ19" s="271">
        <v>137.8125</v>
      </c>
    </row>
    <row r="20" spans="1:52" thickBot="1" x14ac:dyDescent="0.3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539" t="s">
        <v>352</v>
      </c>
      <c r="Q20" s="540"/>
      <c r="R20" s="541">
        <f>GETPIVOTDATA("CONSUMO LITROS COAGULANTE (L) ",$AD$3)</f>
        <v>9830</v>
      </c>
      <c r="S20" s="541">
        <f>GETPIVOTDATA("KG COAGULANTE ",$AL$3)</f>
        <v>13024.75</v>
      </c>
      <c r="T20" s="542">
        <f>S20*AW2</f>
        <v>37771775</v>
      </c>
      <c r="V20" s="428">
        <v>17</v>
      </c>
      <c r="W20" s="86">
        <v>2.6041666666666665</v>
      </c>
      <c r="X20" s="86">
        <v>0.86805555555555558</v>
      </c>
      <c r="Y20" s="86">
        <v>388.88888888888891</v>
      </c>
      <c r="Z20" s="86">
        <v>375</v>
      </c>
      <c r="AA20" s="86">
        <v>173.61111111111111</v>
      </c>
      <c r="AB20" s="73">
        <v>3481.7406249999999</v>
      </c>
      <c r="AD20" s="428">
        <v>17</v>
      </c>
      <c r="AE20" s="86">
        <v>15</v>
      </c>
      <c r="AF20" s="86">
        <v>5</v>
      </c>
      <c r="AG20" s="86">
        <v>560</v>
      </c>
      <c r="AH20" s="86">
        <v>540</v>
      </c>
      <c r="AI20" s="86">
        <v>250</v>
      </c>
      <c r="AJ20" s="73">
        <v>3481.7406249999999</v>
      </c>
      <c r="AL20" s="428">
        <v>17</v>
      </c>
      <c r="AM20" s="86">
        <v>15</v>
      </c>
      <c r="AN20" s="86">
        <v>5</v>
      </c>
      <c r="AO20" s="86">
        <v>728</v>
      </c>
      <c r="AP20" s="86">
        <v>715.5</v>
      </c>
      <c r="AQ20" s="86">
        <v>312.5</v>
      </c>
      <c r="AR20" s="73">
        <v>3481.7406249999999</v>
      </c>
      <c r="AT20" s="434">
        <v>17</v>
      </c>
      <c r="AU20" s="271">
        <v>3481.7406249999999</v>
      </c>
      <c r="AV20" s="271">
        <v>419.61111111111109</v>
      </c>
      <c r="AW20" s="271">
        <v>1400.1937499999999</v>
      </c>
      <c r="AX20" s="271">
        <v>1366.1024305555557</v>
      </c>
      <c r="AY20" s="271">
        <v>66.145833333333329</v>
      </c>
      <c r="AZ20" s="271">
        <v>229.6875</v>
      </c>
    </row>
    <row r="21" spans="1:52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747" t="s">
        <v>414</v>
      </c>
      <c r="Q21" s="748"/>
      <c r="R21" s="748"/>
      <c r="S21" s="535">
        <v>0.54180085487226071</v>
      </c>
      <c r="T21" s="553">
        <v>1571.2</v>
      </c>
      <c r="V21" s="428">
        <v>18</v>
      </c>
      <c r="W21" s="86">
        <v>2.2321428571428572</v>
      </c>
      <c r="X21" s="86">
        <v>0.74404761904761907</v>
      </c>
      <c r="Y21" s="86">
        <v>270.83333333333331</v>
      </c>
      <c r="Z21" s="86">
        <v>297.61904761904759</v>
      </c>
      <c r="AA21" s="86">
        <v>181.54761904761904</v>
      </c>
      <c r="AB21" s="73">
        <v>3085.6183035714284</v>
      </c>
      <c r="AD21" s="428">
        <v>18</v>
      </c>
      <c r="AE21" s="86">
        <v>15</v>
      </c>
      <c r="AF21" s="86">
        <v>5</v>
      </c>
      <c r="AG21" s="86">
        <v>455</v>
      </c>
      <c r="AH21" s="86">
        <v>500</v>
      </c>
      <c r="AI21" s="86">
        <v>305</v>
      </c>
      <c r="AJ21" s="73">
        <v>3085.6183035714284</v>
      </c>
      <c r="AL21" s="428">
        <v>18</v>
      </c>
      <c r="AM21" s="86">
        <v>15</v>
      </c>
      <c r="AN21" s="86">
        <v>5</v>
      </c>
      <c r="AO21" s="86">
        <v>591.5</v>
      </c>
      <c r="AP21" s="86">
        <v>662.5</v>
      </c>
      <c r="AQ21" s="86">
        <v>381.25</v>
      </c>
      <c r="AR21" s="73">
        <v>3085.6183035714284</v>
      </c>
      <c r="AT21" s="434">
        <v>18</v>
      </c>
      <c r="AU21" s="271">
        <v>3085.6183035714284</v>
      </c>
      <c r="AV21" s="271">
        <v>292.22916666666669</v>
      </c>
      <c r="AW21" s="271">
        <v>1111.264880952381</v>
      </c>
      <c r="AX21" s="271">
        <v>1428.5528273809523</v>
      </c>
      <c r="AY21" s="271">
        <v>56.696428571428569</v>
      </c>
      <c r="AZ21" s="271">
        <v>196.875</v>
      </c>
    </row>
    <row r="22" spans="1:52" ht="14.25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749" t="s">
        <v>415</v>
      </c>
      <c r="Q22" s="750"/>
      <c r="R22" s="750"/>
      <c r="S22" s="560">
        <f>S20/F82</f>
        <v>0.40182482877768866</v>
      </c>
      <c r="T22" s="538">
        <f>T20/F82</f>
        <v>1165.2920034552972</v>
      </c>
      <c r="V22" s="428">
        <v>19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73">
        <v>0</v>
      </c>
      <c r="AD22" s="428">
        <v>19</v>
      </c>
      <c r="AE22" s="86">
        <v>15</v>
      </c>
      <c r="AF22" s="86">
        <v>0</v>
      </c>
      <c r="AG22" s="86">
        <v>0</v>
      </c>
      <c r="AH22" s="86">
        <v>0</v>
      </c>
      <c r="AI22" s="86">
        <v>0</v>
      </c>
      <c r="AJ22" s="73">
        <v>0</v>
      </c>
      <c r="AL22" s="428">
        <v>19</v>
      </c>
      <c r="AM22" s="86">
        <v>15</v>
      </c>
      <c r="AN22" s="86">
        <v>0</v>
      </c>
      <c r="AO22" s="86">
        <v>0</v>
      </c>
      <c r="AP22" s="86">
        <v>0</v>
      </c>
      <c r="AQ22" s="86">
        <v>0</v>
      </c>
      <c r="AR22" s="73">
        <v>0</v>
      </c>
      <c r="AT22" s="434">
        <v>19</v>
      </c>
      <c r="AU22" s="271">
        <v>0</v>
      </c>
      <c r="AV22" s="271">
        <v>0</v>
      </c>
      <c r="AW22" s="271">
        <v>0</v>
      </c>
      <c r="AX22" s="271">
        <v>0</v>
      </c>
      <c r="AY22" s="271">
        <v>0</v>
      </c>
      <c r="AZ22" s="271">
        <v>0</v>
      </c>
    </row>
    <row r="23" spans="1:52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749" t="s">
        <v>416</v>
      </c>
      <c r="Q23" s="750"/>
      <c r="R23" s="750"/>
      <c r="S23" s="548">
        <v>13746</v>
      </c>
      <c r="T23" s="538">
        <v>39863817.5287247</v>
      </c>
      <c r="V23" s="428">
        <v>20</v>
      </c>
      <c r="W23" s="86">
        <v>2.34375</v>
      </c>
      <c r="X23" s="86">
        <v>0.78125</v>
      </c>
      <c r="Y23" s="86">
        <v>46.875</v>
      </c>
      <c r="Z23" s="86">
        <v>268.75</v>
      </c>
      <c r="AA23" s="86">
        <v>109.375</v>
      </c>
      <c r="AB23" s="73">
        <v>2180.94484375</v>
      </c>
      <c r="AD23" s="428">
        <v>20</v>
      </c>
      <c r="AE23" s="86">
        <v>15</v>
      </c>
      <c r="AF23" s="86">
        <v>5</v>
      </c>
      <c r="AG23" s="86">
        <v>75</v>
      </c>
      <c r="AH23" s="86">
        <v>430</v>
      </c>
      <c r="AI23" s="86">
        <v>175</v>
      </c>
      <c r="AJ23" s="73">
        <v>2180.94484375</v>
      </c>
      <c r="AL23" s="428">
        <v>20</v>
      </c>
      <c r="AM23" s="86">
        <v>15</v>
      </c>
      <c r="AN23" s="86">
        <v>5</v>
      </c>
      <c r="AO23" s="86">
        <v>97.5</v>
      </c>
      <c r="AP23" s="86">
        <v>569.75</v>
      </c>
      <c r="AQ23" s="86">
        <v>218.75</v>
      </c>
      <c r="AR23" s="73">
        <v>2180.94484375</v>
      </c>
      <c r="AT23" s="434">
        <v>20</v>
      </c>
      <c r="AU23" s="271">
        <v>2180.94484375</v>
      </c>
      <c r="AV23" s="271">
        <v>50.578125</v>
      </c>
      <c r="AW23" s="271">
        <v>1003.4721875</v>
      </c>
      <c r="AX23" s="271">
        <v>860.64453125</v>
      </c>
      <c r="AY23" s="271">
        <v>59.53125</v>
      </c>
      <c r="AZ23" s="271">
        <v>206.71875</v>
      </c>
    </row>
    <row r="24" spans="1:52" thickBot="1" x14ac:dyDescent="0.3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751" t="s">
        <v>417</v>
      </c>
      <c r="Q24" s="752"/>
      <c r="R24" s="752"/>
      <c r="S24" s="549">
        <f>+S20</f>
        <v>13024.75</v>
      </c>
      <c r="T24" s="552">
        <f>+T20</f>
        <v>37771775</v>
      </c>
      <c r="V24" s="428">
        <v>21</v>
      </c>
      <c r="W24" s="86">
        <v>2.7573529411764706</v>
      </c>
      <c r="X24" s="86">
        <v>1.838235294117647</v>
      </c>
      <c r="Y24" s="86">
        <v>205.88235294117646</v>
      </c>
      <c r="Z24" s="86">
        <v>279.41176470588238</v>
      </c>
      <c r="AA24" s="86">
        <v>139.70588235294119</v>
      </c>
      <c r="AB24" s="73">
        <v>2748.0113970588236</v>
      </c>
      <c r="AD24" s="428">
        <v>21</v>
      </c>
      <c r="AE24" s="86">
        <v>15</v>
      </c>
      <c r="AF24" s="86">
        <v>10</v>
      </c>
      <c r="AG24" s="86">
        <v>280</v>
      </c>
      <c r="AH24" s="86">
        <v>380</v>
      </c>
      <c r="AI24" s="86">
        <v>190</v>
      </c>
      <c r="AJ24" s="73">
        <v>2748.0113970588236</v>
      </c>
      <c r="AL24" s="428">
        <v>21</v>
      </c>
      <c r="AM24" s="86">
        <v>15</v>
      </c>
      <c r="AN24" s="86">
        <v>10</v>
      </c>
      <c r="AO24" s="86">
        <v>364</v>
      </c>
      <c r="AP24" s="86">
        <v>503.5</v>
      </c>
      <c r="AQ24" s="86">
        <v>237.5</v>
      </c>
      <c r="AR24" s="73">
        <v>2748.0113970588236</v>
      </c>
      <c r="AT24" s="434">
        <v>21</v>
      </c>
      <c r="AU24" s="271">
        <v>2748.0113970588236</v>
      </c>
      <c r="AV24" s="271">
        <v>222.14705882352942</v>
      </c>
      <c r="AW24" s="271">
        <v>1043.2816176470587</v>
      </c>
      <c r="AX24" s="271">
        <v>1099.3106617647059</v>
      </c>
      <c r="AY24" s="271">
        <v>140.0735294117647</v>
      </c>
      <c r="AZ24" s="271">
        <v>243.1985294117647</v>
      </c>
    </row>
    <row r="25" spans="1:52" ht="14.25" x14ac:dyDescent="0.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V25" s="428">
        <v>22</v>
      </c>
      <c r="W25" s="86">
        <v>2.4671052631578947</v>
      </c>
      <c r="X25" s="86">
        <v>1.6447368421052631</v>
      </c>
      <c r="Y25" s="86">
        <v>203.94736842105263</v>
      </c>
      <c r="Z25" s="86">
        <v>427.63157894736844</v>
      </c>
      <c r="AA25" s="86">
        <v>190.78947368421052</v>
      </c>
      <c r="AB25" s="73">
        <v>3660.9736842105262</v>
      </c>
      <c r="AD25" s="428">
        <v>22</v>
      </c>
      <c r="AE25" s="86">
        <v>15</v>
      </c>
      <c r="AF25" s="86">
        <v>10</v>
      </c>
      <c r="AG25" s="86">
        <v>310</v>
      </c>
      <c r="AH25" s="86">
        <v>650</v>
      </c>
      <c r="AI25" s="86">
        <v>290</v>
      </c>
      <c r="AJ25" s="73">
        <v>3660.9736842105262</v>
      </c>
      <c r="AL25" s="428">
        <v>22</v>
      </c>
      <c r="AM25" s="86">
        <v>15</v>
      </c>
      <c r="AN25" s="86">
        <v>10</v>
      </c>
      <c r="AO25" s="86">
        <v>403</v>
      </c>
      <c r="AP25" s="86">
        <v>861.25</v>
      </c>
      <c r="AQ25" s="86">
        <v>362.5</v>
      </c>
      <c r="AR25" s="73">
        <v>3660.9736842105262</v>
      </c>
      <c r="AT25" s="434">
        <v>22</v>
      </c>
      <c r="AU25" s="271">
        <v>3660.9736842105262</v>
      </c>
      <c r="AV25" s="271">
        <v>220.05921052631578</v>
      </c>
      <c r="AW25" s="271">
        <v>1596.7121710526317</v>
      </c>
      <c r="AX25" s="271">
        <v>1501.2746710526317</v>
      </c>
      <c r="AY25" s="271">
        <v>125.32894736842105</v>
      </c>
      <c r="AZ25" s="271">
        <v>217.59868421052633</v>
      </c>
    </row>
    <row r="26" spans="1:52" thickBot="1" x14ac:dyDescent="0.3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V26" s="428">
        <v>23</v>
      </c>
      <c r="W26" s="86">
        <v>3.3444816053511706</v>
      </c>
      <c r="X26" s="86">
        <v>1.6722408026755853</v>
      </c>
      <c r="Y26" s="86">
        <v>214.04682274247492</v>
      </c>
      <c r="Z26" s="86">
        <v>240.80267558528428</v>
      </c>
      <c r="AA26" s="86">
        <v>100.33444816053512</v>
      </c>
      <c r="AB26" s="73">
        <v>2341.9923076923078</v>
      </c>
      <c r="AD26" s="428">
        <v>23</v>
      </c>
      <c r="AE26" s="86">
        <v>20</v>
      </c>
      <c r="AF26" s="86">
        <v>10</v>
      </c>
      <c r="AG26" s="86">
        <v>320</v>
      </c>
      <c r="AH26" s="86">
        <v>360</v>
      </c>
      <c r="AI26" s="86">
        <v>150</v>
      </c>
      <c r="AJ26" s="73">
        <v>2341.9923076923078</v>
      </c>
      <c r="AL26" s="428">
        <v>23</v>
      </c>
      <c r="AM26" s="86">
        <v>20</v>
      </c>
      <c r="AN26" s="86">
        <v>10</v>
      </c>
      <c r="AO26" s="86">
        <v>416</v>
      </c>
      <c r="AP26" s="86">
        <v>477</v>
      </c>
      <c r="AQ26" s="86">
        <v>187.5</v>
      </c>
      <c r="AR26" s="73">
        <v>2341.9923076923078</v>
      </c>
      <c r="AT26" s="434">
        <v>23</v>
      </c>
      <c r="AU26" s="271">
        <v>2341.9923076923078</v>
      </c>
      <c r="AV26" s="271">
        <v>230.95652173913044</v>
      </c>
      <c r="AW26" s="271">
        <v>899.12107023411374</v>
      </c>
      <c r="AX26" s="271">
        <v>789.50668896321065</v>
      </c>
      <c r="AY26" s="271">
        <v>127.4247491638796</v>
      </c>
      <c r="AZ26" s="271">
        <v>294.98327759197326</v>
      </c>
    </row>
    <row r="27" spans="1:52" ht="19.7" thickBot="1" x14ac:dyDescent="0.4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753" t="s">
        <v>250</v>
      </c>
      <c r="Q27" s="754"/>
      <c r="R27" s="754"/>
      <c r="S27" s="754"/>
      <c r="T27" s="755"/>
      <c r="V27" s="428">
        <v>24</v>
      </c>
      <c r="W27" s="86">
        <v>0.91911764705882348</v>
      </c>
      <c r="X27" s="86">
        <v>0.91911764705882348</v>
      </c>
      <c r="Y27" s="86">
        <v>227.94117647058823</v>
      </c>
      <c r="Z27" s="86">
        <v>227.94117647058823</v>
      </c>
      <c r="AA27" s="86">
        <v>110.29411764705883</v>
      </c>
      <c r="AB27" s="73">
        <v>2116.0264705882355</v>
      </c>
      <c r="AD27" s="428">
        <v>24</v>
      </c>
      <c r="AE27" s="86">
        <v>5</v>
      </c>
      <c r="AF27" s="86">
        <v>5</v>
      </c>
      <c r="AG27" s="86">
        <v>310</v>
      </c>
      <c r="AH27" s="86">
        <v>310</v>
      </c>
      <c r="AI27" s="86">
        <v>150</v>
      </c>
      <c r="AJ27" s="73">
        <v>2116.0264705882355</v>
      </c>
      <c r="AL27" s="428">
        <v>24</v>
      </c>
      <c r="AM27" s="86">
        <v>5</v>
      </c>
      <c r="AN27" s="86">
        <v>5</v>
      </c>
      <c r="AO27" s="86">
        <v>403</v>
      </c>
      <c r="AP27" s="86">
        <v>410.75</v>
      </c>
      <c r="AQ27" s="86">
        <v>187.5</v>
      </c>
      <c r="AR27" s="73">
        <v>2116.0264705882355</v>
      </c>
      <c r="AT27" s="434">
        <v>24</v>
      </c>
      <c r="AU27" s="271">
        <v>2116.0264705882355</v>
      </c>
      <c r="AV27" s="271">
        <v>245.9485294117647</v>
      </c>
      <c r="AW27" s="271">
        <v>851.09816176470588</v>
      </c>
      <c r="AX27" s="271">
        <v>867.87683823529414</v>
      </c>
      <c r="AY27" s="271">
        <v>70.036764705882348</v>
      </c>
      <c r="AZ27" s="271">
        <v>81.066176470588232</v>
      </c>
    </row>
    <row r="28" spans="1:52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543"/>
      <c r="Q28" s="544" t="s">
        <v>247</v>
      </c>
      <c r="R28" s="544" t="s">
        <v>362</v>
      </c>
      <c r="S28" s="544" t="s">
        <v>363</v>
      </c>
      <c r="T28" s="545" t="s">
        <v>358</v>
      </c>
      <c r="V28" s="428">
        <v>25</v>
      </c>
      <c r="W28" s="86">
        <v>2.7573529411764706</v>
      </c>
      <c r="X28" s="86">
        <v>0.91911764705882348</v>
      </c>
      <c r="Y28" s="86">
        <v>220.58823529411765</v>
      </c>
      <c r="Z28" s="86">
        <v>301.47058823529414</v>
      </c>
      <c r="AA28" s="86">
        <v>102.94117647058823</v>
      </c>
      <c r="AB28" s="73">
        <v>2486.9143382352941</v>
      </c>
      <c r="AD28" s="428">
        <v>25</v>
      </c>
      <c r="AE28" s="86">
        <v>15</v>
      </c>
      <c r="AF28" s="86">
        <v>5</v>
      </c>
      <c r="AG28" s="86">
        <v>300</v>
      </c>
      <c r="AH28" s="86">
        <v>410</v>
      </c>
      <c r="AI28" s="86">
        <v>140</v>
      </c>
      <c r="AJ28" s="73">
        <v>2486.9143382352941</v>
      </c>
      <c r="AL28" s="428">
        <v>25</v>
      </c>
      <c r="AM28" s="86">
        <v>15</v>
      </c>
      <c r="AN28" s="86">
        <v>5</v>
      </c>
      <c r="AO28" s="86">
        <v>390</v>
      </c>
      <c r="AP28" s="86">
        <v>543.25</v>
      </c>
      <c r="AQ28" s="86">
        <v>175</v>
      </c>
      <c r="AR28" s="73">
        <v>2486.9143382352941</v>
      </c>
      <c r="AT28" s="434">
        <v>25</v>
      </c>
      <c r="AU28" s="271">
        <v>2486.9143382352941</v>
      </c>
      <c r="AV28" s="271">
        <v>238.01470588235293</v>
      </c>
      <c r="AW28" s="271">
        <v>1125.6459558823528</v>
      </c>
      <c r="AX28" s="271">
        <v>810.01838235294122</v>
      </c>
      <c r="AY28" s="271">
        <v>70.036764705882348</v>
      </c>
      <c r="AZ28" s="271">
        <v>243.1985294117647</v>
      </c>
    </row>
    <row r="29" spans="1:52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536" t="s">
        <v>244</v>
      </c>
      <c r="Q29" s="283">
        <f>_xlfn.MINIFS(Y4:Y30,Y4:Y30,"&lt;&gt;0")</f>
        <v>46.875</v>
      </c>
      <c r="R29" s="283">
        <f>_xlfn.MINIFS(AG4:AG30,AG4:AG30,"&lt;&gt;0")</f>
        <v>75</v>
      </c>
      <c r="S29" s="283">
        <f>_xlfn.MINIFS(AO4:AO30,AO4:AO30,"&lt;&gt;0")</f>
        <v>97.5</v>
      </c>
      <c r="T29" s="538">
        <f>_xlfn.MINIFS(AV4:AV30,AV4:AV30,"&lt;&gt;0")</f>
        <v>50.578125</v>
      </c>
      <c r="V29" s="428">
        <v>26</v>
      </c>
      <c r="W29" s="86">
        <v>3.125</v>
      </c>
      <c r="X29" s="86">
        <v>1.5625</v>
      </c>
      <c r="Y29" s="86">
        <v>287.5</v>
      </c>
      <c r="Z29" s="86">
        <v>125</v>
      </c>
      <c r="AA29" s="86">
        <v>37.5</v>
      </c>
      <c r="AB29" s="73">
        <v>1466.7093749999999</v>
      </c>
      <c r="AD29" s="428">
        <v>26</v>
      </c>
      <c r="AE29" s="86">
        <v>10</v>
      </c>
      <c r="AF29" s="86">
        <v>5</v>
      </c>
      <c r="AG29" s="86">
        <v>230</v>
      </c>
      <c r="AH29" s="86">
        <v>100</v>
      </c>
      <c r="AI29" s="86">
        <v>30</v>
      </c>
      <c r="AJ29" s="73">
        <v>1466.7093749999999</v>
      </c>
      <c r="AL29" s="428">
        <v>26</v>
      </c>
      <c r="AM29" s="86">
        <v>10</v>
      </c>
      <c r="AN29" s="86">
        <v>5</v>
      </c>
      <c r="AO29" s="86">
        <v>299</v>
      </c>
      <c r="AP29" s="86">
        <v>132.5</v>
      </c>
      <c r="AQ29" s="86">
        <v>37.5</v>
      </c>
      <c r="AR29" s="73">
        <v>1466.7093749999999</v>
      </c>
      <c r="AT29" s="434">
        <v>26</v>
      </c>
      <c r="AU29" s="271">
        <v>1466.7093749999999</v>
      </c>
      <c r="AV29" s="271">
        <v>310.21249999999998</v>
      </c>
      <c r="AW29" s="271">
        <v>466.73124999999999</v>
      </c>
      <c r="AX29" s="271">
        <v>295.078125</v>
      </c>
      <c r="AY29" s="271">
        <v>119.0625</v>
      </c>
      <c r="AZ29" s="271">
        <v>275.625</v>
      </c>
    </row>
    <row r="30" spans="1:52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536" t="s">
        <v>245</v>
      </c>
      <c r="Q30" s="283">
        <f>MAX(Y4:Y30)</f>
        <v>388.88888888888891</v>
      </c>
      <c r="R30" s="283">
        <f>MAX(AG4:AG30)</f>
        <v>560</v>
      </c>
      <c r="S30" s="283">
        <f>MAX(AO4:AO30)</f>
        <v>728</v>
      </c>
      <c r="T30" s="538">
        <f>MAX(AV4:AV30)</f>
        <v>419.61111111111109</v>
      </c>
      <c r="V30" s="428">
        <v>27</v>
      </c>
      <c r="W30" s="86">
        <v>3.2894736842105261</v>
      </c>
      <c r="X30" s="86">
        <v>2.4671052631578947</v>
      </c>
      <c r="Y30" s="86">
        <v>315.78947368421052</v>
      </c>
      <c r="Z30" s="86">
        <v>289.4736842105263</v>
      </c>
      <c r="AA30" s="86">
        <v>92.10526315789474</v>
      </c>
      <c r="AB30" s="73">
        <v>2624.4664473684211</v>
      </c>
      <c r="AD30" s="428">
        <v>27</v>
      </c>
      <c r="AE30" s="86">
        <v>20</v>
      </c>
      <c r="AF30" s="86">
        <v>15</v>
      </c>
      <c r="AG30" s="86">
        <v>480</v>
      </c>
      <c r="AH30" s="86">
        <v>440</v>
      </c>
      <c r="AI30" s="86">
        <v>140</v>
      </c>
      <c r="AJ30" s="73">
        <v>2624.4664473684211</v>
      </c>
      <c r="AL30" s="428">
        <v>27</v>
      </c>
      <c r="AM30" s="86">
        <v>20</v>
      </c>
      <c r="AN30" s="86">
        <v>15</v>
      </c>
      <c r="AO30" s="86">
        <v>624</v>
      </c>
      <c r="AP30" s="86">
        <v>583</v>
      </c>
      <c r="AQ30" s="86">
        <v>175</v>
      </c>
      <c r="AR30" s="73">
        <v>2624.4664473684211</v>
      </c>
      <c r="AT30" s="434">
        <v>27</v>
      </c>
      <c r="AU30" s="271">
        <v>2624.4664473684211</v>
      </c>
      <c r="AV30" s="271">
        <v>340.73684210526318</v>
      </c>
      <c r="AW30" s="271">
        <v>1080.8513157894736</v>
      </c>
      <c r="AX30" s="271">
        <v>724.75328947368416</v>
      </c>
      <c r="AY30" s="271">
        <v>187.99342105263159</v>
      </c>
      <c r="AZ30" s="271">
        <v>290.13157894736844</v>
      </c>
    </row>
    <row r="31" spans="1:52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536" t="s">
        <v>246</v>
      </c>
      <c r="Q31" s="285">
        <f>AVERAGEIF(Y4:Y30,"&lt;&gt;0")</f>
        <v>219.01346647957183</v>
      </c>
      <c r="R31" s="285">
        <f>AVERAGEIF(AG4:AG30,"&lt;&gt;0")</f>
        <v>288.09523809523807</v>
      </c>
      <c r="S31" s="285">
        <f>AVERAGEIF(AO4:AO30,"&lt;&gt;0")</f>
        <v>374.52380952380952</v>
      </c>
      <c r="T31" s="538">
        <f>AVERAGEIF(AV4:AV30,"&lt;&gt;0")</f>
        <v>236.31553033145798</v>
      </c>
      <c r="V31" s="428">
        <v>28</v>
      </c>
      <c r="W31" s="86">
        <v>1.5625</v>
      </c>
      <c r="X31" s="86">
        <v>1.5625</v>
      </c>
      <c r="Y31" s="86">
        <v>325</v>
      </c>
      <c r="Z31" s="86">
        <v>381.25</v>
      </c>
      <c r="AA31" s="86">
        <v>112.5</v>
      </c>
      <c r="AB31" s="73">
        <v>2916.3146875000002</v>
      </c>
      <c r="AD31" s="428">
        <v>28</v>
      </c>
      <c r="AE31" s="86">
        <v>10</v>
      </c>
      <c r="AF31" s="86">
        <v>10</v>
      </c>
      <c r="AG31" s="86">
        <v>520</v>
      </c>
      <c r="AH31" s="86">
        <v>610</v>
      </c>
      <c r="AI31" s="86">
        <v>180</v>
      </c>
      <c r="AJ31" s="73">
        <v>2916.3146875000002</v>
      </c>
      <c r="AL31" s="428">
        <v>28</v>
      </c>
      <c r="AM31" s="86">
        <v>10</v>
      </c>
      <c r="AN31" s="86">
        <v>10</v>
      </c>
      <c r="AO31" s="86">
        <v>676</v>
      </c>
      <c r="AP31" s="86">
        <v>808.25</v>
      </c>
      <c r="AQ31" s="86">
        <v>225</v>
      </c>
      <c r="AR31" s="73">
        <v>2916.3146875000002</v>
      </c>
      <c r="AT31" s="434">
        <v>28</v>
      </c>
      <c r="AU31" s="271">
        <v>2916.3146875000002</v>
      </c>
      <c r="AV31" s="271">
        <v>350.67500000000001</v>
      </c>
      <c r="AW31" s="271">
        <v>1423.5303125</v>
      </c>
      <c r="AX31" s="271">
        <v>885.234375</v>
      </c>
      <c r="AY31" s="271">
        <v>119.0625</v>
      </c>
      <c r="AZ31" s="271">
        <v>137.8125</v>
      </c>
    </row>
    <row r="32" spans="1:52" ht="15.75" thickBot="1" x14ac:dyDescent="0.3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539" t="s">
        <v>352</v>
      </c>
      <c r="Q32" s="540"/>
      <c r="R32" s="541">
        <f>GETPIVOTDATA("CONSUMO LITROS ACIDO (L) ",$AD$3)</f>
        <v>7170</v>
      </c>
      <c r="S32" s="541">
        <f>GETPIVOTDATA("KG ACIDO ",$AL$3)</f>
        <v>9321</v>
      </c>
      <c r="T32" s="542">
        <f>AV2*S32</f>
        <v>7736430</v>
      </c>
      <c r="V32" s="428">
        <v>29</v>
      </c>
      <c r="W32" s="86">
        <v>2.2321428571428572</v>
      </c>
      <c r="X32" s="86">
        <v>2.2321428571428572</v>
      </c>
      <c r="Y32" s="86">
        <v>154.76190476190476</v>
      </c>
      <c r="Z32" s="86">
        <v>315.47619047619048</v>
      </c>
      <c r="AA32" s="86">
        <v>148.8095238095238</v>
      </c>
      <c r="AB32" s="73">
        <v>2882.8380952380953</v>
      </c>
      <c r="AD32" s="428">
        <v>29</v>
      </c>
      <c r="AE32" s="86">
        <v>15</v>
      </c>
      <c r="AF32" s="86">
        <v>15</v>
      </c>
      <c r="AG32" s="86">
        <v>260</v>
      </c>
      <c r="AH32" s="86">
        <v>530</v>
      </c>
      <c r="AI32" s="86">
        <v>250</v>
      </c>
      <c r="AJ32" s="73">
        <v>2882.8380952380953</v>
      </c>
      <c r="AL32" s="428">
        <v>29</v>
      </c>
      <c r="AM32" s="86">
        <v>15</v>
      </c>
      <c r="AN32" s="86">
        <v>15</v>
      </c>
      <c r="AO32" s="86">
        <v>338</v>
      </c>
      <c r="AP32" s="86">
        <v>702.25</v>
      </c>
      <c r="AQ32" s="86">
        <v>312.5</v>
      </c>
      <c r="AR32" s="73">
        <v>2882.8380952380953</v>
      </c>
      <c r="AT32" s="434">
        <v>29</v>
      </c>
      <c r="AU32" s="271">
        <v>2882.8380952380953</v>
      </c>
      <c r="AV32" s="271">
        <v>166.98809523809524</v>
      </c>
      <c r="AW32" s="271">
        <v>1177.9407738095238</v>
      </c>
      <c r="AX32" s="271">
        <v>1170.9449404761904</v>
      </c>
      <c r="AY32" s="271">
        <v>170.08928571428572</v>
      </c>
      <c r="AZ32" s="271">
        <v>196.875</v>
      </c>
    </row>
    <row r="33" spans="1:52" x14ac:dyDescent="0.25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747" t="s">
        <v>414</v>
      </c>
      <c r="Q33" s="748"/>
      <c r="R33" s="748"/>
      <c r="S33" s="535">
        <v>0.30804067524684736</v>
      </c>
      <c r="T33" s="553">
        <v>255.7</v>
      </c>
      <c r="V33" s="428">
        <v>30</v>
      </c>
      <c r="W33" s="86">
        <v>2.4671052631578947</v>
      </c>
      <c r="X33" s="86">
        <v>2.4671052631578947</v>
      </c>
      <c r="Y33" s="86">
        <v>223.68421052631578</v>
      </c>
      <c r="Z33" s="86">
        <v>348.68421052631578</v>
      </c>
      <c r="AA33" s="86">
        <v>105.26315789473684</v>
      </c>
      <c r="AB33" s="73">
        <v>2777.1713815789471</v>
      </c>
      <c r="AD33" s="428">
        <v>30</v>
      </c>
      <c r="AE33" s="86">
        <v>15</v>
      </c>
      <c r="AF33" s="86">
        <v>15</v>
      </c>
      <c r="AG33" s="86">
        <v>340</v>
      </c>
      <c r="AH33" s="86">
        <v>530</v>
      </c>
      <c r="AI33" s="86">
        <v>160</v>
      </c>
      <c r="AJ33" s="73">
        <v>2777.1713815789471</v>
      </c>
      <c r="AL33" s="428">
        <v>30</v>
      </c>
      <c r="AM33" s="86">
        <v>15</v>
      </c>
      <c r="AN33" s="86">
        <v>15</v>
      </c>
      <c r="AO33" s="86">
        <v>442</v>
      </c>
      <c r="AP33" s="86">
        <v>702.25</v>
      </c>
      <c r="AQ33" s="86">
        <v>200</v>
      </c>
      <c r="AR33" s="73">
        <v>2777.1713815789471</v>
      </c>
      <c r="AT33" s="434">
        <v>30</v>
      </c>
      <c r="AU33" s="271">
        <v>2777.1713815789471</v>
      </c>
      <c r="AV33" s="271">
        <v>241.35526315789474</v>
      </c>
      <c r="AW33" s="271">
        <v>1301.9345394736843</v>
      </c>
      <c r="AX33" s="271">
        <v>828.28947368421052</v>
      </c>
      <c r="AY33" s="271">
        <v>187.99342105263159</v>
      </c>
      <c r="AZ33" s="271">
        <v>217.59868421052633</v>
      </c>
    </row>
    <row r="34" spans="1:52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749" t="s">
        <v>415</v>
      </c>
      <c r="Q34" s="750"/>
      <c r="R34" s="750"/>
      <c r="S34" s="560">
        <f>+S32/F82</f>
        <v>0.28756093046214598</v>
      </c>
      <c r="T34" s="538">
        <f>T32/F82</f>
        <v>238.67557228358118</v>
      </c>
      <c r="V34" s="428" t="s">
        <v>72</v>
      </c>
      <c r="W34" s="86">
        <v>2.7380144382057137</v>
      </c>
      <c r="X34" s="86">
        <v>1.5039797618313075</v>
      </c>
      <c r="Y34" s="86">
        <v>221.20071574011229</v>
      </c>
      <c r="Z34" s="86">
        <v>303.26402171901032</v>
      </c>
      <c r="AA34" s="86">
        <v>118.46732893194299</v>
      </c>
      <c r="AB34" s="73">
        <v>2659.3038656136237</v>
      </c>
      <c r="AD34" s="428" t="s">
        <v>72</v>
      </c>
      <c r="AE34" s="86">
        <v>355</v>
      </c>
      <c r="AF34" s="86">
        <v>195</v>
      </c>
      <c r="AG34" s="86">
        <v>7170</v>
      </c>
      <c r="AH34" s="86">
        <v>9830</v>
      </c>
      <c r="AI34" s="86">
        <v>3840</v>
      </c>
      <c r="AJ34" s="73">
        <v>2659.3038656136237</v>
      </c>
      <c r="AL34" s="428" t="s">
        <v>72</v>
      </c>
      <c r="AM34" s="86">
        <v>355</v>
      </c>
      <c r="AN34" s="86">
        <v>195</v>
      </c>
      <c r="AO34" s="86">
        <v>9321</v>
      </c>
      <c r="AP34" s="86">
        <v>13024.75</v>
      </c>
      <c r="AQ34" s="86">
        <v>4800</v>
      </c>
      <c r="AR34" s="73">
        <v>2659.3038656136237</v>
      </c>
      <c r="AT34" s="434" t="s">
        <v>72</v>
      </c>
      <c r="AU34" s="271">
        <v>2659.3038656136237</v>
      </c>
      <c r="AV34" s="271">
        <v>238.67557228358118</v>
      </c>
      <c r="AW34" s="271">
        <v>1132.3423674955266</v>
      </c>
      <c r="AX34" s="271">
        <v>932.1897945332264</v>
      </c>
      <c r="AY34" s="271">
        <v>114.60325785154564</v>
      </c>
      <c r="AZ34" s="271">
        <v>241.49287344974394</v>
      </c>
    </row>
    <row r="35" spans="1:52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749" t="s">
        <v>416</v>
      </c>
      <c r="Q35" s="750"/>
      <c r="R35" s="750"/>
      <c r="S35" s="556">
        <v>7815</v>
      </c>
      <c r="T35" s="538">
        <v>6486753</v>
      </c>
    </row>
    <row r="36" spans="1:52" ht="15.75" thickBot="1" x14ac:dyDescent="0.3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751" t="s">
        <v>417</v>
      </c>
      <c r="Q36" s="752"/>
      <c r="R36" s="752"/>
      <c r="S36" s="554">
        <f>S32</f>
        <v>9321</v>
      </c>
      <c r="T36" s="552">
        <f>+T32</f>
        <v>7736430</v>
      </c>
    </row>
    <row r="37" spans="1:52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T37" s="286"/>
    </row>
    <row r="38" spans="1:52" ht="15.75" thickBot="1" x14ac:dyDescent="0.3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T38" s="67"/>
    </row>
    <row r="39" spans="1:52" ht="18.75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756" t="s">
        <v>251</v>
      </c>
      <c r="Q39" s="757"/>
      <c r="R39" s="757"/>
      <c r="S39" s="758"/>
      <c r="T39" s="91"/>
    </row>
    <row r="40" spans="1:52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536"/>
      <c r="Q40" s="270" t="s">
        <v>247</v>
      </c>
      <c r="R40" s="270" t="s">
        <v>363</v>
      </c>
      <c r="S40" s="537" t="s">
        <v>358</v>
      </c>
      <c r="T40" s="91"/>
    </row>
    <row r="41" spans="1:52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536" t="s">
        <v>244</v>
      </c>
      <c r="Q41" s="283">
        <f>_xlfn.MINIFS(X4:X30,X4:X30,"&lt;&gt;0")</f>
        <v>0.74404761904761907</v>
      </c>
      <c r="R41" s="283">
        <f>_xlfn.MINIFS(AN4:AN30,AN4:AN30,"&lt;&gt;0")</f>
        <v>5</v>
      </c>
      <c r="S41" s="538">
        <f>_xlfn.MINIFS(AY4:AY30,AY4:AY30,"&lt;&gt;0")</f>
        <v>56.696428571428569</v>
      </c>
      <c r="T41" s="287"/>
    </row>
    <row r="42" spans="1:52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536" t="s">
        <v>245</v>
      </c>
      <c r="Q42" s="283">
        <f>MAX(X4:X30)</f>
        <v>2.9296875</v>
      </c>
      <c r="R42" s="283">
        <f>MAX(AN4:AN30)</f>
        <v>15</v>
      </c>
      <c r="S42" s="538">
        <f>MAX(AY4:AY30)</f>
        <v>223.2421875</v>
      </c>
      <c r="T42" s="38"/>
    </row>
    <row r="43" spans="1:52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536" t="s">
        <v>246</v>
      </c>
      <c r="Q43" s="285">
        <f>AVERAGEIF(X4:X30,"&lt;&gt;0")</f>
        <v>1.4855109617624762</v>
      </c>
      <c r="R43" s="285">
        <f>AVERAGEIF(AN4:AN30,"&lt;&gt;0")</f>
        <v>7.75</v>
      </c>
      <c r="S43" s="538">
        <f>AVERAGEIF(AY4:AY30,"&lt;&gt;0")</f>
        <v>113.19593528630071</v>
      </c>
      <c r="T43" s="38"/>
    </row>
    <row r="44" spans="1:52" ht="15.75" thickBo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551" t="s">
        <v>352</v>
      </c>
      <c r="Q44" s="533"/>
      <c r="R44" s="533">
        <f>GETPIVOTDATA("KG POL ANIONICO  ",$AL$3)</f>
        <v>195</v>
      </c>
      <c r="S44" s="555">
        <f>R44*AY2</f>
        <v>3714750</v>
      </c>
      <c r="T44" s="38"/>
    </row>
    <row r="45" spans="1:52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747" t="s">
        <v>414</v>
      </c>
      <c r="Q45" s="748"/>
      <c r="R45" s="562">
        <v>5.4182543146669175E-3</v>
      </c>
      <c r="S45" s="553">
        <v>103.2</v>
      </c>
      <c r="T45" s="38"/>
    </row>
    <row r="46" spans="1:52" x14ac:dyDescent="0.25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749" t="s">
        <v>415</v>
      </c>
      <c r="Q46" s="750" t="s">
        <v>415</v>
      </c>
      <c r="R46" s="564">
        <f>R44/F82</f>
        <v>6.0159190473252295E-3</v>
      </c>
      <c r="S46" s="538">
        <f>+S44/F82</f>
        <v>114.60325785154564</v>
      </c>
      <c r="T46" s="38"/>
    </row>
    <row r="47" spans="1:52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749" t="s">
        <v>416</v>
      </c>
      <c r="Q47" s="750" t="s">
        <v>416</v>
      </c>
      <c r="R47" s="556">
        <v>137</v>
      </c>
      <c r="S47" s="538">
        <v>2618759</v>
      </c>
      <c r="T47" s="38"/>
    </row>
    <row r="48" spans="1:52" ht="15.75" thickBot="1" x14ac:dyDescent="0.3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751" t="s">
        <v>417</v>
      </c>
      <c r="Q48" s="752" t="s">
        <v>417</v>
      </c>
      <c r="R48" s="554">
        <f>+R44</f>
        <v>195</v>
      </c>
      <c r="S48" s="552">
        <v>762000</v>
      </c>
      <c r="T48" s="38"/>
    </row>
    <row r="49" spans="1:20" ht="15.75" thickBot="1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T49" s="38"/>
    </row>
    <row r="50" spans="1:20" ht="18.75" x14ac:dyDescent="0.3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756" t="s">
        <v>252</v>
      </c>
      <c r="Q50" s="757"/>
      <c r="R50" s="757"/>
      <c r="S50" s="758"/>
      <c r="T50" s="38"/>
    </row>
    <row r="51" spans="1:20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536"/>
      <c r="Q51" s="270" t="s">
        <v>247</v>
      </c>
      <c r="R51" s="270" t="s">
        <v>363</v>
      </c>
      <c r="S51" s="537" t="s">
        <v>358</v>
      </c>
      <c r="T51" s="38"/>
    </row>
    <row r="52" spans="1:20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536" t="s">
        <v>244</v>
      </c>
      <c r="Q52" s="283">
        <f>_xlfn.MINIFS(W4:W30,W4:W30,"&lt;&gt;0")</f>
        <v>0.91911764705882348</v>
      </c>
      <c r="R52" s="283">
        <f>_xlfn.MINIFS(AM4:AM30,AM4:AM30,"&lt;&gt;0")</f>
        <v>5</v>
      </c>
      <c r="S52" s="538">
        <f>_xlfn.MINIFS(AZ4:AZ30,AZ4:AZ30,"&lt;&gt;0")</f>
        <v>81.066176470588232</v>
      </c>
      <c r="T52" s="38"/>
    </row>
    <row r="53" spans="1:20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536" t="s">
        <v>245</v>
      </c>
      <c r="Q53" s="283">
        <f>MAX(W4:W30)</f>
        <v>4.166666666666667</v>
      </c>
      <c r="R53" s="283">
        <f>MAX(AM4:AM30)</f>
        <v>20</v>
      </c>
      <c r="S53" s="538">
        <f>MAX(AZ4:AZ30)</f>
        <v>367.5</v>
      </c>
      <c r="T53" s="38"/>
    </row>
    <row r="54" spans="1:20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536" t="s">
        <v>246</v>
      </c>
      <c r="Q54" s="285">
        <f>AVERAGEIF(W4:W30,"&lt;&gt;0")</f>
        <v>2.7523543610068568</v>
      </c>
      <c r="R54" s="285">
        <f>AVERAGEIF(AM4:AM30,"&lt;&gt;0")</f>
        <v>14.318181818181818</v>
      </c>
      <c r="S54" s="538">
        <f>AVERAGEIF(AZ4:AZ30,"&lt;&gt;0")</f>
        <v>242.75765464080476</v>
      </c>
      <c r="T54" s="38"/>
    </row>
    <row r="55" spans="1:20" ht="15.75" thickBot="1" x14ac:dyDescent="0.3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539" t="s">
        <v>352</v>
      </c>
      <c r="Q55" s="540"/>
      <c r="R55" s="540">
        <f>GETPIVOTDATA("KG POL CATIONICO  ",$AL$3)</f>
        <v>355</v>
      </c>
      <c r="S55" s="546">
        <f>R55*AZ2</f>
        <v>7827750</v>
      </c>
      <c r="T55" s="38"/>
    </row>
    <row r="56" spans="1:20" x14ac:dyDescent="0.2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747" t="s">
        <v>414</v>
      </c>
      <c r="Q56" s="748" t="s">
        <v>414</v>
      </c>
      <c r="R56" s="561">
        <v>9.1306963630572498E-3</v>
      </c>
      <c r="S56" s="553">
        <v>201.3</v>
      </c>
      <c r="T56" s="38"/>
    </row>
    <row r="57" spans="1:20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749" t="s">
        <v>415</v>
      </c>
      <c r="Q57" s="750" t="s">
        <v>415</v>
      </c>
      <c r="R57" s="563">
        <f>+R55/F82</f>
        <v>1.0952057752822854E-2</v>
      </c>
      <c r="S57" s="538">
        <f>+S55/F82</f>
        <v>241.49287344974394</v>
      </c>
      <c r="T57" s="38"/>
    </row>
    <row r="58" spans="1:20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749" t="s">
        <v>416</v>
      </c>
      <c r="Q58" s="750" t="s">
        <v>416</v>
      </c>
      <c r="R58" s="556">
        <v>232</v>
      </c>
      <c r="S58" s="538">
        <v>5108033.0311522214</v>
      </c>
      <c r="T58" s="38"/>
    </row>
    <row r="59" spans="1:20" ht="15.75" thickBot="1" x14ac:dyDescent="0.3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751" t="s">
        <v>417</v>
      </c>
      <c r="Q59" s="752" t="s">
        <v>417</v>
      </c>
      <c r="R59" s="115">
        <f>+R55</f>
        <v>355</v>
      </c>
      <c r="S59" s="552">
        <v>2094750</v>
      </c>
      <c r="T59" s="38"/>
    </row>
    <row r="60" spans="1:20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67"/>
      <c r="K60" s="67"/>
      <c r="L60" s="67"/>
      <c r="M60" s="67"/>
      <c r="N60" s="67"/>
      <c r="O60" s="67"/>
      <c r="T60" s="38"/>
    </row>
    <row r="61" spans="1:20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67"/>
      <c r="K61" s="67"/>
      <c r="L61" s="67"/>
      <c r="M61" s="67"/>
      <c r="N61" s="67"/>
      <c r="O61" s="67"/>
      <c r="P61" s="38"/>
      <c r="Q61" s="38"/>
      <c r="R61" s="38"/>
      <c r="S61" s="38"/>
      <c r="T61" s="38"/>
    </row>
    <row r="62" spans="1:20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</row>
    <row r="63" spans="1:20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</row>
    <row r="64" spans="1:20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</row>
    <row r="65" spans="1:20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</row>
    <row r="66" spans="1:20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</row>
    <row r="67" spans="1:20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</row>
    <row r="68" spans="1:20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</row>
    <row r="69" spans="1:20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28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1:20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289"/>
      <c r="K70" s="38"/>
      <c r="L70" s="38"/>
      <c r="M70" s="38"/>
      <c r="N70" s="38"/>
      <c r="O70" s="38"/>
      <c r="P70" s="38"/>
      <c r="Q70" s="38"/>
      <c r="R70" s="38"/>
      <c r="S70" s="38"/>
      <c r="T70" s="38"/>
    </row>
    <row r="71" spans="1:20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290"/>
      <c r="K71" s="38"/>
      <c r="L71" s="38"/>
      <c r="M71" s="38"/>
      <c r="N71" s="38"/>
      <c r="O71" s="38"/>
      <c r="P71" s="38"/>
      <c r="Q71" s="38"/>
      <c r="R71" s="38"/>
      <c r="S71" s="38"/>
      <c r="T71" s="38"/>
    </row>
    <row r="72" spans="1:20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</row>
    <row r="73" spans="1:20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</row>
    <row r="74" spans="1:20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</row>
    <row r="75" spans="1:20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</row>
    <row r="76" spans="1:20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</row>
    <row r="77" spans="1:20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</row>
    <row r="78" spans="1:20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</row>
    <row r="79" spans="1:20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</row>
    <row r="80" spans="1:20" x14ac:dyDescent="0.25">
      <c r="A80" s="38"/>
      <c r="B80" s="759" t="s">
        <v>316</v>
      </c>
      <c r="C80" s="760"/>
      <c r="D80" s="760"/>
      <c r="E80" s="760"/>
      <c r="F80" s="760"/>
      <c r="G80" s="760"/>
      <c r="H80" s="760"/>
      <c r="I80" s="761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</row>
    <row r="81" spans="1:20" ht="45" x14ac:dyDescent="0.25">
      <c r="A81" s="38"/>
      <c r="B81" s="291" t="s">
        <v>317</v>
      </c>
      <c r="C81" s="291" t="s">
        <v>318</v>
      </c>
      <c r="D81" s="291" t="s">
        <v>319</v>
      </c>
      <c r="E81" s="291" t="s">
        <v>320</v>
      </c>
      <c r="F81" s="291" t="s">
        <v>321</v>
      </c>
      <c r="G81" s="291" t="s">
        <v>322</v>
      </c>
      <c r="H81" s="291" t="s">
        <v>323</v>
      </c>
      <c r="I81" s="291" t="s">
        <v>324</v>
      </c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</row>
    <row r="82" spans="1:20" x14ac:dyDescent="0.25">
      <c r="A82" s="38"/>
      <c r="B82" s="292">
        <f>E97</f>
        <v>1326</v>
      </c>
      <c r="C82" s="293">
        <f>F97</f>
        <v>652</v>
      </c>
      <c r="D82" s="293">
        <f>+B82-C82</f>
        <v>674</v>
      </c>
      <c r="E82" s="294">
        <f>(D82/1000000)*1000</f>
        <v>0.67400000000000004</v>
      </c>
      <c r="F82" s="292">
        <f>'DB QUIMICA'!Z8</f>
        <v>32414</v>
      </c>
      <c r="G82" s="292">
        <f>+F82*E82</f>
        <v>21847.036</v>
      </c>
      <c r="H82" s="295">
        <f>'DB QUIMICA'!AD8</f>
        <v>86198675.5</v>
      </c>
      <c r="I82" s="296">
        <f>H82/G82</f>
        <v>3945.5546967561181</v>
      </c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</row>
    <row r="83" spans="1:20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</row>
    <row r="84" spans="1:20" x14ac:dyDescent="0.25">
      <c r="A84" s="38"/>
      <c r="B84" s="759" t="s">
        <v>349</v>
      </c>
      <c r="C84" s="760"/>
      <c r="D84" s="760"/>
      <c r="E84" s="760"/>
      <c r="F84" s="760"/>
      <c r="G84" s="760"/>
      <c r="H84" s="760"/>
      <c r="I84" s="761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</row>
    <row r="85" spans="1:20" ht="30" x14ac:dyDescent="0.25">
      <c r="A85" s="38"/>
      <c r="B85" s="291" t="s">
        <v>421</v>
      </c>
      <c r="C85" s="291" t="s">
        <v>422</v>
      </c>
      <c r="D85" s="291" t="s">
        <v>423</v>
      </c>
      <c r="E85" s="291" t="s">
        <v>350</v>
      </c>
      <c r="F85" s="291" t="s">
        <v>321</v>
      </c>
      <c r="G85" s="291" t="s">
        <v>322</v>
      </c>
      <c r="H85" s="291" t="s">
        <v>323</v>
      </c>
      <c r="I85" s="291" t="s">
        <v>351</v>
      </c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</row>
    <row r="86" spans="1:20" x14ac:dyDescent="0.25">
      <c r="A86" s="38"/>
      <c r="B86" s="292">
        <f>E102</f>
        <v>558</v>
      </c>
      <c r="C86" s="293">
        <f>F102</f>
        <v>44</v>
      </c>
      <c r="D86" s="293">
        <f>+B86-C86</f>
        <v>514</v>
      </c>
      <c r="E86" s="294">
        <f>(D86/1000000)*1000</f>
        <v>0.51400000000000001</v>
      </c>
      <c r="F86" s="292">
        <f>+F82</f>
        <v>32414</v>
      </c>
      <c r="G86" s="292">
        <f>+F86*E86</f>
        <v>16660.796000000002</v>
      </c>
      <c r="H86" s="295">
        <f>H82</f>
        <v>86198675.5</v>
      </c>
      <c r="I86" s="296">
        <f>H86/D86</f>
        <v>167701.70330739301</v>
      </c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</row>
    <row r="87" spans="1:20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</row>
    <row r="90" spans="1:20" ht="15.75" thickBot="1" x14ac:dyDescent="0.3">
      <c r="B90" s="773"/>
      <c r="C90" s="773"/>
      <c r="D90" s="773"/>
      <c r="E90" s="773"/>
      <c r="F90" s="773"/>
    </row>
    <row r="91" spans="1:20" ht="19.5" thickBot="1" x14ac:dyDescent="0.3">
      <c r="B91" s="777" t="s">
        <v>339</v>
      </c>
      <c r="C91" s="778"/>
      <c r="D91" s="779"/>
      <c r="E91" s="268" t="s">
        <v>343</v>
      </c>
      <c r="F91" s="269" t="s">
        <v>344</v>
      </c>
    </row>
    <row r="92" spans="1:20" x14ac:dyDescent="0.25">
      <c r="B92" s="774" t="s">
        <v>346</v>
      </c>
      <c r="C92" s="775"/>
      <c r="D92" s="775"/>
      <c r="E92" s="775"/>
      <c r="F92" s="776"/>
    </row>
    <row r="93" spans="1:20" x14ac:dyDescent="0.25">
      <c r="B93" s="762" t="s">
        <v>246</v>
      </c>
      <c r="C93" s="763"/>
      <c r="D93" s="764"/>
      <c r="E93" s="89">
        <v>5807</v>
      </c>
      <c r="F93" s="94">
        <v>878</v>
      </c>
    </row>
    <row r="94" spans="1:20" x14ac:dyDescent="0.25">
      <c r="B94" s="264" t="s">
        <v>340</v>
      </c>
      <c r="C94" s="262"/>
      <c r="D94" s="263"/>
      <c r="E94" s="89">
        <v>8104</v>
      </c>
      <c r="F94" s="94">
        <v>1218</v>
      </c>
    </row>
    <row r="95" spans="1:20" ht="15.75" thickBot="1" x14ac:dyDescent="0.3">
      <c r="B95" s="265" t="s">
        <v>345</v>
      </c>
      <c r="C95" s="266"/>
      <c r="D95" s="267"/>
      <c r="E95" s="282">
        <v>0.29809999999999998</v>
      </c>
      <c r="F95" s="281">
        <v>0.29459999999999997</v>
      </c>
    </row>
    <row r="96" spans="1:20" x14ac:dyDescent="0.25">
      <c r="B96" s="767" t="s">
        <v>347</v>
      </c>
      <c r="C96" s="768"/>
      <c r="D96" s="768"/>
      <c r="E96" s="768"/>
      <c r="F96" s="769"/>
    </row>
    <row r="97" spans="2:7" x14ac:dyDescent="0.25">
      <c r="B97" s="762" t="s">
        <v>246</v>
      </c>
      <c r="C97" s="763"/>
      <c r="D97" s="764"/>
      <c r="E97" s="89">
        <v>1326</v>
      </c>
      <c r="F97" s="94">
        <v>652</v>
      </c>
    </row>
    <row r="98" spans="2:7" x14ac:dyDescent="0.25">
      <c r="B98" s="264" t="s">
        <v>340</v>
      </c>
      <c r="C98" s="262"/>
      <c r="D98" s="263"/>
      <c r="E98" s="89">
        <v>1417</v>
      </c>
      <c r="F98" s="94">
        <v>803.9</v>
      </c>
    </row>
    <row r="99" spans="2:7" ht="15.75" thickBot="1" x14ac:dyDescent="0.3">
      <c r="B99" s="264" t="s">
        <v>345</v>
      </c>
      <c r="C99" s="262"/>
      <c r="D99" s="263"/>
      <c r="E99" s="282">
        <v>7.7700000000000005E-2</v>
      </c>
      <c r="F99" s="281">
        <v>0.20530000000000001</v>
      </c>
    </row>
    <row r="100" spans="2:7" ht="15.75" thickBot="1" x14ac:dyDescent="0.3">
      <c r="B100" s="265" t="s">
        <v>341</v>
      </c>
      <c r="C100" s="266"/>
      <c r="D100" s="267"/>
      <c r="E100" s="765">
        <f>+G82</f>
        <v>21847.036</v>
      </c>
      <c r="F100" s="766"/>
    </row>
    <row r="101" spans="2:7" x14ac:dyDescent="0.25">
      <c r="B101" s="770" t="s">
        <v>348</v>
      </c>
      <c r="C101" s="771"/>
      <c r="D101" s="771"/>
      <c r="E101" s="771"/>
      <c r="F101" s="772"/>
    </row>
    <row r="102" spans="2:7" x14ac:dyDescent="0.25">
      <c r="B102" s="762" t="s">
        <v>246</v>
      </c>
      <c r="C102" s="763"/>
      <c r="D102" s="764"/>
      <c r="E102" s="89">
        <v>558</v>
      </c>
      <c r="F102" s="94">
        <v>44</v>
      </c>
    </row>
    <row r="103" spans="2:7" x14ac:dyDescent="0.25">
      <c r="B103" s="264" t="s">
        <v>340</v>
      </c>
      <c r="C103" s="262"/>
      <c r="D103" s="263"/>
      <c r="E103" s="89">
        <v>879.5</v>
      </c>
      <c r="F103" s="94">
        <v>63.9</v>
      </c>
    </row>
    <row r="104" spans="2:7" ht="15.75" thickBot="1" x14ac:dyDescent="0.3">
      <c r="B104" s="264" t="s">
        <v>345</v>
      </c>
      <c r="C104" s="262"/>
      <c r="D104" s="263"/>
      <c r="E104" s="282">
        <v>0.35759999999999997</v>
      </c>
      <c r="F104" s="281">
        <v>0.33119999999999999</v>
      </c>
    </row>
    <row r="105" spans="2:7" ht="15.75" thickBot="1" x14ac:dyDescent="0.3">
      <c r="B105" s="265" t="s">
        <v>342</v>
      </c>
      <c r="C105" s="266"/>
      <c r="D105" s="267"/>
      <c r="E105" s="765">
        <f>+G86</f>
        <v>16660.796000000002</v>
      </c>
      <c r="F105" s="766"/>
      <c r="G105" s="284"/>
    </row>
    <row r="106" spans="2:7" x14ac:dyDescent="0.25">
      <c r="G106">
        <v>25</v>
      </c>
    </row>
  </sheetData>
  <mergeCells count="37">
    <mergeCell ref="B84:I84"/>
    <mergeCell ref="P4:T4"/>
    <mergeCell ref="B80:I80"/>
    <mergeCell ref="B93:D93"/>
    <mergeCell ref="E105:F105"/>
    <mergeCell ref="B97:D97"/>
    <mergeCell ref="B96:F96"/>
    <mergeCell ref="B102:D102"/>
    <mergeCell ref="B101:F101"/>
    <mergeCell ref="E100:F100"/>
    <mergeCell ref="P10:R10"/>
    <mergeCell ref="P11:R11"/>
    <mergeCell ref="B90:F90"/>
    <mergeCell ref="B92:F92"/>
    <mergeCell ref="B91:D91"/>
    <mergeCell ref="P24:R24"/>
    <mergeCell ref="P12:R12"/>
    <mergeCell ref="P13:R13"/>
    <mergeCell ref="P46:Q46"/>
    <mergeCell ref="P47:Q47"/>
    <mergeCell ref="P33:R33"/>
    <mergeCell ref="P56:Q56"/>
    <mergeCell ref="P57:Q57"/>
    <mergeCell ref="P58:Q58"/>
    <mergeCell ref="P59:Q59"/>
    <mergeCell ref="P15:T15"/>
    <mergeCell ref="P27:T27"/>
    <mergeCell ref="P39:S39"/>
    <mergeCell ref="P50:S50"/>
    <mergeCell ref="P34:R34"/>
    <mergeCell ref="P35:R35"/>
    <mergeCell ref="P36:R36"/>
    <mergeCell ref="P45:Q45"/>
    <mergeCell ref="P48:Q48"/>
    <mergeCell ref="P21:R21"/>
    <mergeCell ref="P22:R22"/>
    <mergeCell ref="P23:R23"/>
  </mergeCells>
  <conditionalFormatting sqref="R46:S46">
    <cfRule type="cellIs" dxfId="7" priority="1" operator="greaterThan">
      <formula>R45</formula>
    </cfRule>
  </conditionalFormatting>
  <conditionalFormatting sqref="R57:S57">
    <cfRule type="cellIs" dxfId="6" priority="3" operator="greaterThan">
      <formula>R56</formula>
    </cfRule>
  </conditionalFormatting>
  <conditionalFormatting sqref="S22:T22">
    <cfRule type="cellIs" dxfId="5" priority="10" operator="greaterThan">
      <formula>S21</formula>
    </cfRule>
  </conditionalFormatting>
  <conditionalFormatting sqref="S34:T34">
    <cfRule type="cellIs" dxfId="4" priority="4" operator="greaterThan">
      <formula>S33</formula>
    </cfRule>
  </conditionalFormatting>
  <conditionalFormatting sqref="T11">
    <cfRule type="cellIs" dxfId="3" priority="9" operator="greaterThan">
      <formula>T10</formula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50DE-129E-44D3-B36A-77043D613497}">
  <sheetPr codeName="Hoja7">
    <tabColor rgb="FF00B050"/>
  </sheetPr>
  <dimension ref="A1:R121"/>
  <sheetViews>
    <sheetView zoomScale="85" zoomScaleNormal="85" workbookViewId="0">
      <selection activeCell="A3" sqref="A3:N12"/>
    </sheetView>
  </sheetViews>
  <sheetFormatPr baseColWidth="10" defaultRowHeight="15" x14ac:dyDescent="0.25"/>
  <cols>
    <col min="15" max="18" width="11.42578125" style="259"/>
  </cols>
  <sheetData>
    <row r="1" spans="1:14" ht="23.85" x14ac:dyDescent="0.4">
      <c r="A1" s="781" t="s">
        <v>243</v>
      </c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  <c r="N1" s="781"/>
    </row>
    <row r="2" spans="1:14" ht="14.25" x14ac:dyDescent="0.25">
      <c r="A2" s="780" t="s">
        <v>325</v>
      </c>
      <c r="B2" s="780"/>
      <c r="C2" s="780"/>
      <c r="D2" s="780"/>
      <c r="E2" s="780"/>
      <c r="F2" s="780"/>
      <c r="G2" s="780"/>
      <c r="H2" s="780"/>
      <c r="I2" s="780"/>
      <c r="J2" s="780"/>
      <c r="K2" s="780"/>
      <c r="L2" s="780"/>
      <c r="M2" s="780"/>
      <c r="N2" s="780"/>
    </row>
    <row r="3" spans="1:14" ht="18.75" customHeight="1" x14ac:dyDescent="0.25">
      <c r="A3" s="782"/>
      <c r="B3" s="783"/>
      <c r="C3" s="783"/>
      <c r="D3" s="783"/>
      <c r="E3" s="783"/>
      <c r="F3" s="783"/>
      <c r="G3" s="783"/>
      <c r="H3" s="783"/>
      <c r="I3" s="783"/>
      <c r="J3" s="783"/>
      <c r="K3" s="783"/>
      <c r="L3" s="783"/>
      <c r="M3" s="783"/>
      <c r="N3" s="784"/>
    </row>
    <row r="4" spans="1:14" ht="18.75" customHeight="1" x14ac:dyDescent="0.25">
      <c r="A4" s="785"/>
      <c r="B4" s="773"/>
      <c r="C4" s="773"/>
      <c r="D4" s="773"/>
      <c r="E4" s="773"/>
      <c r="F4" s="773"/>
      <c r="G4" s="773"/>
      <c r="H4" s="773"/>
      <c r="I4" s="773"/>
      <c r="J4" s="773"/>
      <c r="K4" s="773"/>
      <c r="L4" s="773"/>
      <c r="M4" s="773"/>
      <c r="N4" s="786"/>
    </row>
    <row r="5" spans="1:14" ht="18.75" customHeight="1" x14ac:dyDescent="0.25">
      <c r="A5" s="785"/>
      <c r="B5" s="773"/>
      <c r="C5" s="773"/>
      <c r="D5" s="773"/>
      <c r="E5" s="773"/>
      <c r="F5" s="773"/>
      <c r="G5" s="773"/>
      <c r="H5" s="773"/>
      <c r="I5" s="773"/>
      <c r="J5" s="773"/>
      <c r="K5" s="773"/>
      <c r="L5" s="773"/>
      <c r="M5" s="773"/>
      <c r="N5" s="786"/>
    </row>
    <row r="6" spans="1:14" ht="18.75" customHeight="1" x14ac:dyDescent="0.25">
      <c r="A6" s="785"/>
      <c r="B6" s="773"/>
      <c r="C6" s="773"/>
      <c r="D6" s="773"/>
      <c r="E6" s="773"/>
      <c r="F6" s="773"/>
      <c r="G6" s="773"/>
      <c r="H6" s="773"/>
      <c r="I6" s="773"/>
      <c r="J6" s="773"/>
      <c r="K6" s="773"/>
      <c r="L6" s="773"/>
      <c r="M6" s="773"/>
      <c r="N6" s="786"/>
    </row>
    <row r="7" spans="1:14" ht="18.75" customHeight="1" x14ac:dyDescent="0.25">
      <c r="A7" s="785"/>
      <c r="B7" s="773"/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86"/>
    </row>
    <row r="8" spans="1:14" ht="18.75" customHeight="1" x14ac:dyDescent="0.25">
      <c r="A8" s="785"/>
      <c r="B8" s="773"/>
      <c r="C8" s="773"/>
      <c r="D8" s="773"/>
      <c r="E8" s="773"/>
      <c r="F8" s="773"/>
      <c r="G8" s="773"/>
      <c r="H8" s="773"/>
      <c r="I8" s="773"/>
      <c r="J8" s="773"/>
      <c r="K8" s="773"/>
      <c r="L8" s="773"/>
      <c r="M8" s="773"/>
      <c r="N8" s="786"/>
    </row>
    <row r="9" spans="1:14" ht="18.75" customHeight="1" x14ac:dyDescent="0.25">
      <c r="A9" s="785"/>
      <c r="B9" s="773"/>
      <c r="C9" s="773"/>
      <c r="D9" s="773"/>
      <c r="E9" s="773"/>
      <c r="F9" s="773"/>
      <c r="G9" s="773"/>
      <c r="H9" s="773"/>
      <c r="I9" s="773"/>
      <c r="J9" s="773"/>
      <c r="K9" s="773"/>
      <c r="L9" s="773"/>
      <c r="M9" s="773"/>
      <c r="N9" s="786"/>
    </row>
    <row r="10" spans="1:14" ht="18.75" customHeight="1" x14ac:dyDescent="0.25">
      <c r="A10" s="785"/>
      <c r="B10" s="773"/>
      <c r="C10" s="773"/>
      <c r="D10" s="773"/>
      <c r="E10" s="773"/>
      <c r="F10" s="773"/>
      <c r="G10" s="773"/>
      <c r="H10" s="773"/>
      <c r="I10" s="773"/>
      <c r="J10" s="773"/>
      <c r="K10" s="773"/>
      <c r="L10" s="773"/>
      <c r="M10" s="773"/>
      <c r="N10" s="786"/>
    </row>
    <row r="11" spans="1:14" ht="18.75" customHeight="1" x14ac:dyDescent="0.25">
      <c r="A11" s="785"/>
      <c r="B11" s="773"/>
      <c r="C11" s="773"/>
      <c r="D11" s="773"/>
      <c r="E11" s="773"/>
      <c r="F11" s="773"/>
      <c r="G11" s="773"/>
      <c r="H11" s="773"/>
      <c r="I11" s="773"/>
      <c r="J11" s="773"/>
      <c r="K11" s="773"/>
      <c r="L11" s="773"/>
      <c r="M11" s="773"/>
      <c r="N11" s="786"/>
    </row>
    <row r="12" spans="1:14" ht="18.75" customHeight="1" x14ac:dyDescent="0.25">
      <c r="A12" s="787"/>
      <c r="B12" s="788"/>
      <c r="C12" s="788"/>
      <c r="D12" s="788"/>
      <c r="E12" s="788"/>
      <c r="F12" s="788"/>
      <c r="G12" s="788"/>
      <c r="H12" s="788"/>
      <c r="I12" s="788"/>
      <c r="J12" s="788"/>
      <c r="K12" s="788"/>
      <c r="L12" s="788"/>
      <c r="M12" s="788"/>
      <c r="N12" s="789"/>
    </row>
    <row r="13" spans="1:14" ht="20.45" customHeight="1" x14ac:dyDescent="0.25">
      <c r="A13" s="780" t="s">
        <v>325</v>
      </c>
      <c r="B13" s="780"/>
      <c r="C13" s="780"/>
      <c r="D13" s="780"/>
      <c r="E13" s="780"/>
      <c r="F13" s="780"/>
      <c r="G13" s="780"/>
      <c r="H13" s="780"/>
      <c r="I13" s="780"/>
      <c r="J13" s="780"/>
      <c r="K13" s="780"/>
      <c r="L13" s="780"/>
      <c r="M13" s="780"/>
      <c r="N13" s="780"/>
    </row>
    <row r="14" spans="1:14" ht="20.45" customHeight="1" x14ac:dyDescent="0.25">
      <c r="A14" s="782"/>
      <c r="B14" s="783"/>
      <c r="C14" s="783"/>
      <c r="D14" s="783"/>
      <c r="E14" s="783"/>
      <c r="F14" s="783"/>
      <c r="G14" s="783"/>
      <c r="H14" s="783"/>
      <c r="I14" s="783"/>
      <c r="J14" s="783"/>
      <c r="K14" s="783"/>
      <c r="L14" s="783"/>
      <c r="M14" s="783"/>
      <c r="N14" s="784"/>
    </row>
    <row r="15" spans="1:14" ht="20.45" customHeight="1" x14ac:dyDescent="0.25">
      <c r="A15" s="785"/>
      <c r="B15" s="773"/>
      <c r="C15" s="773"/>
      <c r="D15" s="773"/>
      <c r="E15" s="773"/>
      <c r="F15" s="773"/>
      <c r="G15" s="773"/>
      <c r="H15" s="773"/>
      <c r="I15" s="773"/>
      <c r="J15" s="773"/>
      <c r="K15" s="773"/>
      <c r="L15" s="773"/>
      <c r="M15" s="773"/>
      <c r="N15" s="786"/>
    </row>
    <row r="16" spans="1:14" ht="20.45" customHeight="1" x14ac:dyDescent="0.25">
      <c r="A16" s="785"/>
      <c r="B16" s="773"/>
      <c r="C16" s="773"/>
      <c r="D16" s="773"/>
      <c r="E16" s="773"/>
      <c r="F16" s="773"/>
      <c r="G16" s="773"/>
      <c r="H16" s="773"/>
      <c r="I16" s="773"/>
      <c r="J16" s="773"/>
      <c r="K16" s="773"/>
      <c r="L16" s="773"/>
      <c r="M16" s="773"/>
      <c r="N16" s="786"/>
    </row>
    <row r="17" spans="1:14" ht="20.45" customHeight="1" x14ac:dyDescent="0.25">
      <c r="A17" s="785"/>
      <c r="B17" s="773"/>
      <c r="C17" s="773"/>
      <c r="D17" s="773"/>
      <c r="E17" s="773"/>
      <c r="F17" s="773"/>
      <c r="G17" s="773"/>
      <c r="H17" s="773"/>
      <c r="I17" s="773"/>
      <c r="J17" s="773"/>
      <c r="K17" s="773"/>
      <c r="L17" s="773"/>
      <c r="M17" s="773"/>
      <c r="N17" s="786"/>
    </row>
    <row r="18" spans="1:14" ht="20.45" customHeight="1" x14ac:dyDescent="0.25">
      <c r="A18" s="785"/>
      <c r="B18" s="773"/>
      <c r="C18" s="773"/>
      <c r="D18" s="773"/>
      <c r="E18" s="773"/>
      <c r="F18" s="773"/>
      <c r="G18" s="773"/>
      <c r="H18" s="773"/>
      <c r="I18" s="773"/>
      <c r="J18" s="773"/>
      <c r="K18" s="773"/>
      <c r="L18" s="773"/>
      <c r="M18" s="773"/>
      <c r="N18" s="786"/>
    </row>
    <row r="19" spans="1:14" ht="20.45" customHeight="1" x14ac:dyDescent="0.25">
      <c r="A19" s="785"/>
      <c r="B19" s="773"/>
      <c r="C19" s="773"/>
      <c r="D19" s="773"/>
      <c r="E19" s="773"/>
      <c r="F19" s="773"/>
      <c r="G19" s="773"/>
      <c r="H19" s="773"/>
      <c r="I19" s="773"/>
      <c r="J19" s="773"/>
      <c r="K19" s="773"/>
      <c r="L19" s="773"/>
      <c r="M19" s="773"/>
      <c r="N19" s="786"/>
    </row>
    <row r="20" spans="1:14" ht="20.45" customHeight="1" x14ac:dyDescent="0.25">
      <c r="A20" s="785"/>
      <c r="B20" s="773"/>
      <c r="C20" s="773"/>
      <c r="D20" s="773"/>
      <c r="E20" s="773"/>
      <c r="F20" s="773"/>
      <c r="G20" s="773"/>
      <c r="H20" s="773"/>
      <c r="I20" s="773"/>
      <c r="J20" s="773"/>
      <c r="K20" s="773"/>
      <c r="L20" s="773"/>
      <c r="M20" s="773"/>
      <c r="N20" s="786"/>
    </row>
    <row r="21" spans="1:14" ht="20.45" customHeight="1" x14ac:dyDescent="0.25">
      <c r="A21" s="785"/>
      <c r="B21" s="773"/>
      <c r="C21" s="773"/>
      <c r="D21" s="773"/>
      <c r="E21" s="773"/>
      <c r="F21" s="773"/>
      <c r="G21" s="773"/>
      <c r="H21" s="773"/>
      <c r="I21" s="773"/>
      <c r="J21" s="773"/>
      <c r="K21" s="773"/>
      <c r="L21" s="773"/>
      <c r="M21" s="773"/>
      <c r="N21" s="786"/>
    </row>
    <row r="22" spans="1:14" ht="20.45" customHeight="1" x14ac:dyDescent="0.25">
      <c r="A22" s="785"/>
      <c r="B22" s="773"/>
      <c r="C22" s="773"/>
      <c r="D22" s="773"/>
      <c r="E22" s="773"/>
      <c r="F22" s="773"/>
      <c r="G22" s="773"/>
      <c r="H22" s="773"/>
      <c r="I22" s="773"/>
      <c r="J22" s="773"/>
      <c r="K22" s="773"/>
      <c r="L22" s="773"/>
      <c r="M22" s="773"/>
      <c r="N22" s="786"/>
    </row>
    <row r="23" spans="1:14" ht="20.45" customHeight="1" x14ac:dyDescent="0.25">
      <c r="A23" s="787"/>
      <c r="B23" s="788"/>
      <c r="C23" s="788"/>
      <c r="D23" s="788"/>
      <c r="E23" s="788"/>
      <c r="F23" s="788"/>
      <c r="G23" s="788"/>
      <c r="H23" s="788"/>
      <c r="I23" s="788"/>
      <c r="J23" s="788"/>
      <c r="K23" s="788"/>
      <c r="L23" s="788"/>
      <c r="M23" s="788"/>
      <c r="N23" s="789"/>
    </row>
    <row r="24" spans="1:14" x14ac:dyDescent="0.25">
      <c r="A24" s="780" t="s">
        <v>242</v>
      </c>
      <c r="B24" s="780"/>
      <c r="C24" s="780"/>
      <c r="D24" s="780"/>
      <c r="E24" s="780"/>
      <c r="F24" s="780"/>
      <c r="G24" s="780"/>
      <c r="H24" s="780"/>
      <c r="I24" s="780"/>
      <c r="J24" s="780"/>
      <c r="K24" s="780"/>
      <c r="L24" s="780"/>
      <c r="M24" s="780"/>
      <c r="N24" s="780"/>
    </row>
    <row r="25" spans="1:14" x14ac:dyDescent="0.25">
      <c r="A25" s="780"/>
      <c r="B25" s="780"/>
      <c r="C25" s="780"/>
      <c r="D25" s="780"/>
      <c r="E25" s="780"/>
      <c r="F25" s="780"/>
      <c r="G25" s="780"/>
      <c r="H25" s="780"/>
      <c r="I25" s="780"/>
      <c r="J25" s="780"/>
      <c r="K25" s="780"/>
      <c r="L25" s="780"/>
      <c r="M25" s="780"/>
      <c r="N25" s="780"/>
    </row>
    <row r="26" spans="1:14" x14ac:dyDescent="0.25">
      <c r="A26" s="780"/>
      <c r="B26" s="780"/>
      <c r="C26" s="780"/>
      <c r="D26" s="780"/>
      <c r="E26" s="780"/>
      <c r="F26" s="780"/>
      <c r="G26" s="780"/>
      <c r="H26" s="780"/>
      <c r="I26" s="780"/>
      <c r="J26" s="780"/>
      <c r="K26" s="780"/>
      <c r="L26" s="780"/>
      <c r="M26" s="780"/>
      <c r="N26" s="780"/>
    </row>
    <row r="27" spans="1:14" x14ac:dyDescent="0.25">
      <c r="A27" s="780"/>
      <c r="B27" s="780"/>
      <c r="C27" s="780"/>
      <c r="D27" s="780"/>
      <c r="E27" s="780"/>
      <c r="F27" s="780"/>
      <c r="G27" s="780"/>
      <c r="H27" s="780"/>
      <c r="I27" s="780"/>
      <c r="J27" s="780"/>
      <c r="K27" s="780"/>
      <c r="L27" s="780"/>
      <c r="M27" s="780"/>
      <c r="N27" s="780"/>
    </row>
    <row r="28" spans="1:14" x14ac:dyDescent="0.25">
      <c r="A28" s="780"/>
      <c r="B28" s="780"/>
      <c r="C28" s="780"/>
      <c r="D28" s="780"/>
      <c r="E28" s="780"/>
      <c r="F28" s="780"/>
      <c r="G28" s="780"/>
      <c r="H28" s="780"/>
      <c r="I28" s="780"/>
      <c r="J28" s="780"/>
      <c r="K28" s="780"/>
      <c r="L28" s="780"/>
      <c r="M28" s="780"/>
      <c r="N28" s="780"/>
    </row>
    <row r="29" spans="1:14" x14ac:dyDescent="0.25">
      <c r="A29" s="780"/>
      <c r="B29" s="780"/>
      <c r="C29" s="780"/>
      <c r="D29" s="780"/>
      <c r="E29" s="780"/>
      <c r="F29" s="780"/>
      <c r="G29" s="780"/>
      <c r="H29" s="780"/>
      <c r="I29" s="780"/>
      <c r="J29" s="780"/>
      <c r="K29" s="780"/>
      <c r="L29" s="780"/>
      <c r="M29" s="780"/>
      <c r="N29" s="780"/>
    </row>
    <row r="30" spans="1:14" x14ac:dyDescent="0.25">
      <c r="A30" s="780"/>
      <c r="B30" s="780"/>
      <c r="C30" s="780"/>
      <c r="D30" s="780"/>
      <c r="E30" s="780"/>
      <c r="F30" s="780"/>
      <c r="G30" s="780"/>
      <c r="H30" s="780"/>
      <c r="I30" s="780"/>
      <c r="J30" s="780"/>
      <c r="K30" s="780"/>
      <c r="L30" s="780"/>
      <c r="M30" s="780"/>
      <c r="N30" s="780"/>
    </row>
    <row r="31" spans="1:14" x14ac:dyDescent="0.25">
      <c r="A31" s="780"/>
      <c r="B31" s="780"/>
      <c r="C31" s="780"/>
      <c r="D31" s="780"/>
      <c r="E31" s="780"/>
      <c r="F31" s="780"/>
      <c r="G31" s="780"/>
      <c r="H31" s="780"/>
      <c r="I31" s="780"/>
      <c r="J31" s="780"/>
      <c r="K31" s="780"/>
      <c r="L31" s="780"/>
      <c r="M31" s="780"/>
      <c r="N31" s="780"/>
    </row>
    <row r="32" spans="1:14" x14ac:dyDescent="0.25">
      <c r="A32" s="780"/>
      <c r="B32" s="780"/>
      <c r="C32" s="780"/>
      <c r="D32" s="780"/>
      <c r="E32" s="780"/>
      <c r="F32" s="780"/>
      <c r="G32" s="780"/>
      <c r="H32" s="780"/>
      <c r="I32" s="780"/>
      <c r="J32" s="780"/>
      <c r="K32" s="780"/>
      <c r="L32" s="780"/>
      <c r="M32" s="780"/>
      <c r="N32" s="780"/>
    </row>
    <row r="33" spans="1:14" x14ac:dyDescent="0.25">
      <c r="A33" s="780"/>
      <c r="B33" s="780"/>
      <c r="C33" s="780"/>
      <c r="D33" s="780"/>
      <c r="E33" s="780"/>
      <c r="F33" s="780"/>
      <c r="G33" s="780"/>
      <c r="H33" s="780"/>
      <c r="I33" s="780"/>
      <c r="J33" s="780"/>
      <c r="K33" s="780"/>
      <c r="L33" s="780"/>
      <c r="M33" s="780"/>
      <c r="N33" s="780"/>
    </row>
    <row r="34" spans="1:14" x14ac:dyDescent="0.25">
      <c r="A34" s="780"/>
      <c r="B34" s="780"/>
      <c r="C34" s="780"/>
      <c r="D34" s="780"/>
      <c r="E34" s="780"/>
      <c r="F34" s="780"/>
      <c r="G34" s="780"/>
      <c r="H34" s="780"/>
      <c r="I34" s="780"/>
      <c r="J34" s="780"/>
      <c r="K34" s="780"/>
      <c r="L34" s="780"/>
      <c r="M34" s="780"/>
      <c r="N34" s="780"/>
    </row>
    <row r="35" spans="1:14" x14ac:dyDescent="0.25">
      <c r="A35" s="780"/>
      <c r="B35" s="780"/>
      <c r="C35" s="780"/>
      <c r="D35" s="780"/>
      <c r="E35" s="780"/>
      <c r="F35" s="780"/>
      <c r="G35" s="780"/>
      <c r="H35" s="780"/>
      <c r="I35" s="780"/>
      <c r="J35" s="780"/>
      <c r="K35" s="780"/>
      <c r="L35" s="780"/>
      <c r="M35" s="780"/>
      <c r="N35" s="780"/>
    </row>
    <row r="36" spans="1:14" x14ac:dyDescent="0.25">
      <c r="A36" s="780"/>
      <c r="B36" s="780"/>
      <c r="C36" s="780"/>
      <c r="D36" s="780"/>
      <c r="E36" s="780"/>
      <c r="F36" s="780"/>
      <c r="G36" s="780"/>
      <c r="H36" s="780"/>
      <c r="I36" s="780"/>
      <c r="J36" s="780"/>
      <c r="K36" s="780"/>
      <c r="L36" s="780"/>
      <c r="M36" s="780"/>
      <c r="N36" s="780"/>
    </row>
    <row r="37" spans="1:14" x14ac:dyDescent="0.25">
      <c r="A37" s="780"/>
      <c r="B37" s="780"/>
      <c r="C37" s="780"/>
      <c r="D37" s="780"/>
      <c r="E37" s="780"/>
      <c r="F37" s="780"/>
      <c r="G37" s="780"/>
      <c r="H37" s="780"/>
      <c r="I37" s="780"/>
      <c r="J37" s="780"/>
      <c r="K37" s="780"/>
      <c r="L37" s="780"/>
      <c r="M37" s="780"/>
      <c r="N37" s="780"/>
    </row>
    <row r="38" spans="1:14" x14ac:dyDescent="0.25">
      <c r="A38" s="780"/>
      <c r="B38" s="780"/>
      <c r="C38" s="780"/>
      <c r="D38" s="780"/>
      <c r="E38" s="780"/>
      <c r="F38" s="780"/>
      <c r="G38" s="780"/>
      <c r="H38" s="780"/>
      <c r="I38" s="780"/>
      <c r="J38" s="780"/>
      <c r="K38" s="780"/>
      <c r="L38" s="780"/>
      <c r="M38" s="780"/>
      <c r="N38" s="780"/>
    </row>
    <row r="39" spans="1:14" x14ac:dyDescent="0.25">
      <c r="A39" s="780"/>
      <c r="B39" s="780"/>
      <c r="C39" s="780"/>
      <c r="D39" s="780"/>
      <c r="E39" s="780"/>
      <c r="F39" s="780"/>
      <c r="G39" s="780"/>
      <c r="H39" s="780"/>
      <c r="I39" s="780"/>
      <c r="J39" s="780"/>
      <c r="K39" s="780"/>
      <c r="L39" s="780"/>
      <c r="M39" s="780"/>
      <c r="N39" s="780"/>
    </row>
    <row r="40" spans="1:14" x14ac:dyDescent="0.25">
      <c r="A40" s="780"/>
      <c r="B40" s="780"/>
      <c r="C40" s="780"/>
      <c r="D40" s="780"/>
      <c r="E40" s="780"/>
      <c r="F40" s="780"/>
      <c r="G40" s="780"/>
      <c r="H40" s="780"/>
      <c r="I40" s="780"/>
      <c r="J40" s="780"/>
      <c r="K40" s="780"/>
      <c r="L40" s="780"/>
      <c r="M40" s="780"/>
      <c r="N40" s="780"/>
    </row>
    <row r="41" spans="1:14" x14ac:dyDescent="0.25">
      <c r="A41" s="780"/>
      <c r="B41" s="780"/>
      <c r="C41" s="780"/>
      <c r="D41" s="780"/>
      <c r="E41" s="780"/>
      <c r="F41" s="780"/>
      <c r="G41" s="780"/>
      <c r="H41" s="780"/>
      <c r="I41" s="780"/>
      <c r="J41" s="780"/>
      <c r="K41" s="780"/>
      <c r="L41" s="780"/>
      <c r="M41" s="780"/>
      <c r="N41" s="780"/>
    </row>
    <row r="42" spans="1:14" x14ac:dyDescent="0.25">
      <c r="A42" s="780"/>
      <c r="B42" s="780"/>
      <c r="C42" s="780"/>
      <c r="D42" s="780"/>
      <c r="E42" s="780"/>
      <c r="F42" s="780"/>
      <c r="G42" s="780"/>
      <c r="H42" s="780"/>
      <c r="I42" s="780"/>
      <c r="J42" s="780"/>
      <c r="K42" s="780"/>
      <c r="L42" s="780"/>
      <c r="M42" s="780"/>
      <c r="N42" s="780"/>
    </row>
    <row r="43" spans="1:14" x14ac:dyDescent="0.25">
      <c r="A43" s="780"/>
      <c r="B43" s="780"/>
      <c r="C43" s="780"/>
      <c r="D43" s="780"/>
      <c r="E43" s="780"/>
      <c r="F43" s="780"/>
      <c r="G43" s="780"/>
      <c r="H43" s="780"/>
      <c r="I43" s="780"/>
      <c r="J43" s="780"/>
      <c r="K43" s="780"/>
      <c r="L43" s="780"/>
      <c r="M43" s="780"/>
      <c r="N43" s="780"/>
    </row>
    <row r="44" spans="1:14" x14ac:dyDescent="0.25">
      <c r="A44" s="780"/>
      <c r="B44" s="780"/>
      <c r="C44" s="780"/>
      <c r="D44" s="780"/>
      <c r="E44" s="780"/>
      <c r="F44" s="780"/>
      <c r="G44" s="780"/>
      <c r="H44" s="780"/>
      <c r="I44" s="780"/>
      <c r="J44" s="780"/>
      <c r="K44" s="780"/>
      <c r="L44" s="780"/>
      <c r="M44" s="780"/>
      <c r="N44" s="780"/>
    </row>
    <row r="45" spans="1:14" x14ac:dyDescent="0.25">
      <c r="A45" s="780"/>
      <c r="B45" s="780"/>
      <c r="C45" s="780"/>
      <c r="D45" s="780"/>
      <c r="E45" s="780"/>
      <c r="F45" s="780"/>
      <c r="G45" s="780"/>
      <c r="H45" s="780"/>
      <c r="I45" s="780"/>
      <c r="J45" s="780"/>
      <c r="K45" s="780"/>
      <c r="L45" s="780"/>
      <c r="M45" s="780"/>
      <c r="N45" s="780"/>
    </row>
    <row r="46" spans="1:14" x14ac:dyDescent="0.25">
      <c r="A46" s="780"/>
      <c r="B46" s="780"/>
      <c r="C46" s="780"/>
      <c r="D46" s="780"/>
      <c r="E46" s="780"/>
      <c r="F46" s="780"/>
      <c r="G46" s="780"/>
      <c r="H46" s="780"/>
      <c r="I46" s="780"/>
      <c r="J46" s="780"/>
      <c r="K46" s="780"/>
      <c r="L46" s="780"/>
      <c r="M46" s="780"/>
      <c r="N46" s="780"/>
    </row>
    <row r="47" spans="1:14" x14ac:dyDescent="0.25">
      <c r="A47" s="780"/>
      <c r="B47" s="780"/>
      <c r="C47" s="780"/>
      <c r="D47" s="780"/>
      <c r="E47" s="780"/>
      <c r="F47" s="780"/>
      <c r="G47" s="780"/>
      <c r="H47" s="780"/>
      <c r="I47" s="780"/>
      <c r="J47" s="780"/>
      <c r="K47" s="780"/>
      <c r="L47" s="780"/>
      <c r="M47" s="780"/>
      <c r="N47" s="780"/>
    </row>
    <row r="48" spans="1:14" x14ac:dyDescent="0.25">
      <c r="A48" s="780"/>
      <c r="B48" s="780"/>
      <c r="C48" s="780"/>
      <c r="D48" s="780"/>
      <c r="E48" s="780"/>
      <c r="F48" s="780"/>
      <c r="G48" s="780"/>
      <c r="H48" s="780"/>
      <c r="I48" s="780"/>
      <c r="J48" s="780"/>
      <c r="K48" s="780"/>
      <c r="L48" s="780"/>
      <c r="M48" s="780"/>
      <c r="N48" s="780"/>
    </row>
    <row r="49" spans="1:14" x14ac:dyDescent="0.25">
      <c r="A49" s="780"/>
      <c r="B49" s="780"/>
      <c r="C49" s="780"/>
      <c r="D49" s="780"/>
      <c r="E49" s="780"/>
      <c r="F49" s="780"/>
      <c r="G49" s="780"/>
      <c r="H49" s="780"/>
      <c r="I49" s="780"/>
      <c r="J49" s="780"/>
      <c r="K49" s="780"/>
      <c r="L49" s="780"/>
      <c r="M49" s="780"/>
      <c r="N49" s="780"/>
    </row>
    <row r="50" spans="1:14" x14ac:dyDescent="0.25">
      <c r="A50" s="780"/>
      <c r="B50" s="780"/>
      <c r="C50" s="780"/>
      <c r="D50" s="780"/>
      <c r="E50" s="780"/>
      <c r="F50" s="780"/>
      <c r="G50" s="780"/>
      <c r="H50" s="780"/>
      <c r="I50" s="780"/>
      <c r="J50" s="780"/>
      <c r="K50" s="780"/>
      <c r="L50" s="780"/>
      <c r="M50" s="780"/>
      <c r="N50" s="780"/>
    </row>
    <row r="51" spans="1:14" x14ac:dyDescent="0.25">
      <c r="A51" s="780"/>
      <c r="B51" s="780"/>
      <c r="C51" s="780"/>
      <c r="D51" s="780"/>
      <c r="E51" s="780"/>
      <c r="F51" s="780"/>
      <c r="G51" s="780"/>
      <c r="H51" s="780"/>
      <c r="I51" s="780"/>
      <c r="J51" s="780"/>
      <c r="K51" s="780"/>
      <c r="L51" s="780"/>
      <c r="M51" s="780"/>
      <c r="N51" s="780"/>
    </row>
    <row r="52" spans="1:14" x14ac:dyDescent="0.25">
      <c r="A52" s="780"/>
      <c r="B52" s="780"/>
      <c r="C52" s="780"/>
      <c r="D52" s="780"/>
      <c r="E52" s="780"/>
      <c r="F52" s="780"/>
      <c r="G52" s="780"/>
      <c r="H52" s="780"/>
      <c r="I52" s="780"/>
      <c r="J52" s="780"/>
      <c r="K52" s="780"/>
      <c r="L52" s="780"/>
      <c r="M52" s="780"/>
      <c r="N52" s="780"/>
    </row>
    <row r="53" spans="1:14" x14ac:dyDescent="0.25">
      <c r="A53" s="780"/>
      <c r="B53" s="780"/>
      <c r="C53" s="780"/>
      <c r="D53" s="780"/>
      <c r="E53" s="780"/>
      <c r="F53" s="780"/>
      <c r="G53" s="780"/>
      <c r="H53" s="780"/>
      <c r="I53" s="780"/>
      <c r="J53" s="780"/>
      <c r="K53" s="780"/>
      <c r="L53" s="780"/>
      <c r="M53" s="780"/>
      <c r="N53" s="780"/>
    </row>
    <row r="54" spans="1:14" x14ac:dyDescent="0.25">
      <c r="A54" s="780"/>
      <c r="B54" s="780"/>
      <c r="C54" s="780"/>
      <c r="D54" s="780"/>
      <c r="E54" s="780"/>
      <c r="F54" s="780"/>
      <c r="G54" s="780"/>
      <c r="H54" s="780"/>
      <c r="I54" s="780"/>
      <c r="J54" s="780"/>
      <c r="K54" s="780"/>
      <c r="L54" s="780"/>
      <c r="M54" s="780"/>
      <c r="N54" s="780"/>
    </row>
    <row r="55" spans="1:14" x14ac:dyDescent="0.25">
      <c r="A55" s="780"/>
      <c r="B55" s="780"/>
      <c r="C55" s="780"/>
      <c r="D55" s="780"/>
      <c r="E55" s="780"/>
      <c r="F55" s="780"/>
      <c r="G55" s="780"/>
      <c r="H55" s="780"/>
      <c r="I55" s="780"/>
      <c r="J55" s="780"/>
      <c r="K55" s="780"/>
      <c r="L55" s="780"/>
      <c r="M55" s="780"/>
      <c r="N55" s="780"/>
    </row>
    <row r="56" spans="1:14" x14ac:dyDescent="0.25">
      <c r="A56" s="780"/>
      <c r="B56" s="780"/>
      <c r="C56" s="780"/>
      <c r="D56" s="780"/>
      <c r="E56" s="780"/>
      <c r="F56" s="780"/>
      <c r="G56" s="780"/>
      <c r="H56" s="780"/>
      <c r="I56" s="780"/>
      <c r="J56" s="780"/>
      <c r="K56" s="780"/>
      <c r="L56" s="780"/>
      <c r="M56" s="780"/>
      <c r="N56" s="780"/>
    </row>
    <row r="57" spans="1:14" x14ac:dyDescent="0.25">
      <c r="A57" s="780"/>
      <c r="B57" s="780"/>
      <c r="C57" s="780"/>
      <c r="D57" s="780"/>
      <c r="E57" s="780"/>
      <c r="F57" s="780"/>
      <c r="G57" s="780"/>
      <c r="H57" s="780"/>
      <c r="I57" s="780"/>
      <c r="J57" s="780"/>
      <c r="K57" s="780"/>
      <c r="L57" s="780"/>
      <c r="M57" s="780"/>
      <c r="N57" s="780"/>
    </row>
    <row r="58" spans="1:14" x14ac:dyDescent="0.25">
      <c r="A58" s="780"/>
      <c r="B58" s="780"/>
      <c r="C58" s="780"/>
      <c r="D58" s="780"/>
      <c r="E58" s="780"/>
      <c r="F58" s="780"/>
      <c r="G58" s="780"/>
      <c r="H58" s="780"/>
      <c r="I58" s="780"/>
      <c r="J58" s="780"/>
      <c r="K58" s="780"/>
      <c r="L58" s="780"/>
      <c r="M58" s="780"/>
      <c r="N58" s="780"/>
    </row>
    <row r="59" spans="1:14" x14ac:dyDescent="0.25">
      <c r="A59" s="780"/>
      <c r="B59" s="780"/>
      <c r="C59" s="780"/>
      <c r="D59" s="780"/>
      <c r="E59" s="780"/>
      <c r="F59" s="780"/>
      <c r="G59" s="780"/>
      <c r="H59" s="780"/>
      <c r="I59" s="780"/>
      <c r="J59" s="780"/>
      <c r="K59" s="780"/>
      <c r="L59" s="780"/>
      <c r="M59" s="780"/>
      <c r="N59" s="780"/>
    </row>
    <row r="60" spans="1:14" x14ac:dyDescent="0.25">
      <c r="A60" s="780"/>
      <c r="B60" s="780"/>
      <c r="C60" s="780"/>
      <c r="D60" s="780"/>
      <c r="E60" s="780"/>
      <c r="F60" s="780"/>
      <c r="G60" s="780"/>
      <c r="H60" s="780"/>
      <c r="I60" s="780"/>
      <c r="J60" s="780"/>
      <c r="K60" s="780"/>
      <c r="L60" s="780"/>
      <c r="M60" s="780"/>
      <c r="N60" s="780"/>
    </row>
    <row r="61" spans="1:14" x14ac:dyDescent="0.25">
      <c r="A61" s="780"/>
      <c r="B61" s="780"/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</row>
    <row r="62" spans="1:14" x14ac:dyDescent="0.25">
      <c r="A62" s="780"/>
      <c r="B62" s="780"/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</row>
    <row r="63" spans="1:14" x14ac:dyDescent="0.25">
      <c r="A63" s="780"/>
      <c r="B63" s="780"/>
      <c r="C63" s="780"/>
      <c r="D63" s="780"/>
      <c r="E63" s="780"/>
      <c r="F63" s="780"/>
      <c r="G63" s="780"/>
      <c r="H63" s="780"/>
      <c r="I63" s="780"/>
      <c r="J63" s="780"/>
      <c r="K63" s="780"/>
      <c r="L63" s="780"/>
      <c r="M63" s="780"/>
      <c r="N63" s="780"/>
    </row>
    <row r="64" spans="1:14" x14ac:dyDescent="0.25">
      <c r="A64" s="780"/>
      <c r="B64" s="780"/>
      <c r="C64" s="780"/>
      <c r="D64" s="780"/>
      <c r="E64" s="780"/>
      <c r="F64" s="780"/>
      <c r="G64" s="780"/>
      <c r="H64" s="780"/>
      <c r="I64" s="780"/>
      <c r="J64" s="780"/>
      <c r="K64" s="780"/>
      <c r="L64" s="780"/>
      <c r="M64" s="780"/>
      <c r="N64" s="780"/>
    </row>
    <row r="65" spans="1:14" x14ac:dyDescent="0.25">
      <c r="A65" s="780"/>
      <c r="B65" s="780"/>
      <c r="C65" s="780"/>
      <c r="D65" s="780"/>
      <c r="E65" s="780"/>
      <c r="F65" s="780"/>
      <c r="G65" s="780"/>
      <c r="H65" s="780"/>
      <c r="I65" s="780"/>
      <c r="J65" s="780"/>
      <c r="K65" s="780"/>
      <c r="L65" s="780"/>
      <c r="M65" s="780"/>
      <c r="N65" s="780"/>
    </row>
    <row r="66" spans="1:14" x14ac:dyDescent="0.25">
      <c r="A66" s="780"/>
      <c r="B66" s="780"/>
      <c r="C66" s="780"/>
      <c r="D66" s="780"/>
      <c r="E66" s="780"/>
      <c r="F66" s="780"/>
      <c r="G66" s="780"/>
      <c r="H66" s="780"/>
      <c r="I66" s="780"/>
      <c r="J66" s="780"/>
      <c r="K66" s="780"/>
      <c r="L66" s="780"/>
      <c r="M66" s="780"/>
      <c r="N66" s="780"/>
    </row>
    <row r="67" spans="1:14" x14ac:dyDescent="0.25">
      <c r="A67" s="780"/>
      <c r="B67" s="780"/>
      <c r="C67" s="780"/>
      <c r="D67" s="780"/>
      <c r="E67" s="780"/>
      <c r="F67" s="780"/>
      <c r="G67" s="780"/>
      <c r="H67" s="780"/>
      <c r="I67" s="780"/>
      <c r="J67" s="780"/>
      <c r="K67" s="780"/>
      <c r="L67" s="780"/>
      <c r="M67" s="780"/>
      <c r="N67" s="780"/>
    </row>
    <row r="68" spans="1:14" x14ac:dyDescent="0.25">
      <c r="A68" s="780" t="s">
        <v>253</v>
      </c>
      <c r="B68" s="780"/>
      <c r="C68" s="780"/>
      <c r="D68" s="780"/>
      <c r="E68" s="780"/>
      <c r="F68" s="780"/>
      <c r="G68" s="780"/>
      <c r="H68" s="780"/>
      <c r="I68" s="780"/>
      <c r="J68" s="780"/>
      <c r="K68" s="780"/>
      <c r="L68" s="780"/>
      <c r="M68" s="780"/>
      <c r="N68" s="780"/>
    </row>
    <row r="69" spans="1:14" x14ac:dyDescent="0.25">
      <c r="A69" s="780"/>
      <c r="B69" s="780"/>
      <c r="C69" s="780"/>
      <c r="D69" s="780"/>
      <c r="E69" s="780"/>
      <c r="F69" s="780"/>
      <c r="G69" s="780"/>
      <c r="H69" s="780"/>
      <c r="I69" s="780"/>
      <c r="J69" s="780"/>
      <c r="K69" s="780"/>
      <c r="L69" s="780"/>
      <c r="M69" s="780"/>
      <c r="N69" s="780"/>
    </row>
    <row r="70" spans="1:14" x14ac:dyDescent="0.25">
      <c r="A70" s="780"/>
      <c r="B70" s="780"/>
      <c r="C70" s="780"/>
      <c r="D70" s="780"/>
      <c r="E70" s="780"/>
      <c r="F70" s="780"/>
      <c r="G70" s="780"/>
      <c r="H70" s="780"/>
      <c r="I70" s="780"/>
      <c r="J70" s="780"/>
      <c r="K70" s="780"/>
      <c r="L70" s="780"/>
      <c r="M70" s="780"/>
      <c r="N70" s="780"/>
    </row>
    <row r="71" spans="1:14" x14ac:dyDescent="0.25">
      <c r="A71" s="780"/>
      <c r="B71" s="780"/>
      <c r="C71" s="780"/>
      <c r="D71" s="780"/>
      <c r="E71" s="780"/>
      <c r="F71" s="780"/>
      <c r="G71" s="780"/>
      <c r="H71" s="780"/>
      <c r="I71" s="780"/>
      <c r="J71" s="780"/>
      <c r="K71" s="780"/>
      <c r="L71" s="780"/>
      <c r="M71" s="780"/>
      <c r="N71" s="780"/>
    </row>
    <row r="72" spans="1:14" x14ac:dyDescent="0.25">
      <c r="A72" s="780"/>
      <c r="B72" s="780"/>
      <c r="C72" s="780"/>
      <c r="D72" s="780"/>
      <c r="E72" s="780"/>
      <c r="F72" s="780"/>
      <c r="G72" s="780"/>
      <c r="H72" s="780"/>
      <c r="I72" s="780"/>
      <c r="J72" s="780"/>
      <c r="K72" s="780"/>
      <c r="L72" s="780"/>
      <c r="M72" s="780"/>
      <c r="N72" s="780"/>
    </row>
    <row r="73" spans="1:14" x14ac:dyDescent="0.25">
      <c r="A73" s="780"/>
      <c r="B73" s="780"/>
      <c r="C73" s="780"/>
      <c r="D73" s="780"/>
      <c r="E73" s="780"/>
      <c r="F73" s="780"/>
      <c r="G73" s="780"/>
      <c r="H73" s="780"/>
      <c r="I73" s="780"/>
      <c r="J73" s="780"/>
      <c r="K73" s="780"/>
      <c r="L73" s="780"/>
      <c r="M73" s="780"/>
      <c r="N73" s="780"/>
    </row>
    <row r="74" spans="1:14" x14ac:dyDescent="0.25">
      <c r="A74" s="780"/>
      <c r="B74" s="780"/>
      <c r="C74" s="780"/>
      <c r="D74" s="780"/>
      <c r="E74" s="780"/>
      <c r="F74" s="780"/>
      <c r="G74" s="780"/>
      <c r="H74" s="780"/>
      <c r="I74" s="780"/>
      <c r="J74" s="780"/>
      <c r="K74" s="780"/>
      <c r="L74" s="780"/>
      <c r="M74" s="780"/>
      <c r="N74" s="780"/>
    </row>
    <row r="75" spans="1:14" x14ac:dyDescent="0.25">
      <c r="A75" s="780"/>
      <c r="B75" s="780"/>
      <c r="C75" s="780"/>
      <c r="D75" s="780"/>
      <c r="E75" s="780"/>
      <c r="F75" s="780"/>
      <c r="G75" s="780"/>
      <c r="H75" s="780"/>
      <c r="I75" s="780"/>
      <c r="J75" s="780"/>
      <c r="K75" s="780"/>
      <c r="L75" s="780"/>
      <c r="M75" s="780"/>
      <c r="N75" s="780"/>
    </row>
    <row r="76" spans="1:14" x14ac:dyDescent="0.25">
      <c r="A76" s="780"/>
      <c r="B76" s="780"/>
      <c r="C76" s="780"/>
      <c r="D76" s="780"/>
      <c r="E76" s="780"/>
      <c r="F76" s="780"/>
      <c r="G76" s="780"/>
      <c r="H76" s="780"/>
      <c r="I76" s="780"/>
      <c r="J76" s="780"/>
      <c r="K76" s="780"/>
      <c r="L76" s="780"/>
      <c r="M76" s="780"/>
      <c r="N76" s="780"/>
    </row>
    <row r="77" spans="1:14" x14ac:dyDescent="0.25">
      <c r="A77" s="780"/>
      <c r="B77" s="780"/>
      <c r="C77" s="780"/>
      <c r="D77" s="780"/>
      <c r="E77" s="780"/>
      <c r="F77" s="780"/>
      <c r="G77" s="780"/>
      <c r="H77" s="780"/>
      <c r="I77" s="780"/>
      <c r="J77" s="780"/>
      <c r="K77" s="780"/>
      <c r="L77" s="780"/>
      <c r="M77" s="780"/>
      <c r="N77" s="780"/>
    </row>
    <row r="78" spans="1:14" x14ac:dyDescent="0.25">
      <c r="A78" s="780"/>
      <c r="B78" s="780"/>
      <c r="C78" s="780"/>
      <c r="D78" s="780"/>
      <c r="E78" s="780"/>
      <c r="F78" s="780"/>
      <c r="G78" s="780"/>
      <c r="H78" s="780"/>
      <c r="I78" s="780"/>
      <c r="J78" s="780"/>
      <c r="K78" s="780"/>
      <c r="L78" s="780"/>
      <c r="M78" s="780"/>
      <c r="N78" s="780"/>
    </row>
    <row r="79" spans="1:14" x14ac:dyDescent="0.25">
      <c r="A79" s="780"/>
      <c r="B79" s="780"/>
      <c r="C79" s="780"/>
      <c r="D79" s="780"/>
      <c r="E79" s="780"/>
      <c r="F79" s="780"/>
      <c r="G79" s="780"/>
      <c r="H79" s="780"/>
      <c r="I79" s="780"/>
      <c r="J79" s="780"/>
      <c r="K79" s="780"/>
      <c r="L79" s="780"/>
      <c r="M79" s="780"/>
      <c r="N79" s="780"/>
    </row>
    <row r="80" spans="1:14" x14ac:dyDescent="0.25">
      <c r="A80" s="780"/>
      <c r="B80" s="780"/>
      <c r="C80" s="780"/>
      <c r="D80" s="780"/>
      <c r="E80" s="780"/>
      <c r="F80" s="780"/>
      <c r="G80" s="780"/>
      <c r="H80" s="780"/>
      <c r="I80" s="780"/>
      <c r="J80" s="780"/>
      <c r="K80" s="780"/>
      <c r="L80" s="780"/>
      <c r="M80" s="780"/>
      <c r="N80" s="780"/>
    </row>
    <row r="81" spans="1:14" x14ac:dyDescent="0.25">
      <c r="A81" s="780"/>
      <c r="B81" s="780"/>
      <c r="C81" s="780"/>
      <c r="D81" s="780"/>
      <c r="E81" s="780"/>
      <c r="F81" s="780"/>
      <c r="G81" s="780"/>
      <c r="H81" s="780"/>
      <c r="I81" s="780"/>
      <c r="J81" s="780"/>
      <c r="K81" s="780"/>
      <c r="L81" s="780"/>
      <c r="M81" s="780"/>
      <c r="N81" s="780"/>
    </row>
    <row r="82" spans="1:14" x14ac:dyDescent="0.25">
      <c r="A82" s="780"/>
      <c r="B82" s="780"/>
      <c r="C82" s="780"/>
      <c r="D82" s="780"/>
      <c r="E82" s="780"/>
      <c r="F82" s="780"/>
      <c r="G82" s="780"/>
      <c r="H82" s="780"/>
      <c r="I82" s="780"/>
      <c r="J82" s="780"/>
      <c r="K82" s="780"/>
      <c r="L82" s="780"/>
      <c r="M82" s="780"/>
      <c r="N82" s="780"/>
    </row>
    <row r="83" spans="1:14" x14ac:dyDescent="0.25">
      <c r="A83" s="780"/>
      <c r="B83" s="780"/>
      <c r="C83" s="780"/>
      <c r="D83" s="780"/>
      <c r="E83" s="780"/>
      <c r="F83" s="780"/>
      <c r="G83" s="780"/>
      <c r="H83" s="780"/>
      <c r="I83" s="780"/>
      <c r="J83" s="780"/>
      <c r="K83" s="780"/>
      <c r="L83" s="780"/>
      <c r="M83" s="780"/>
      <c r="N83" s="780"/>
    </row>
    <row r="84" spans="1:14" x14ac:dyDescent="0.25">
      <c r="A84" s="780"/>
      <c r="B84" s="780"/>
      <c r="C84" s="780"/>
      <c r="D84" s="780"/>
      <c r="E84" s="780"/>
      <c r="F84" s="780"/>
      <c r="G84" s="780"/>
      <c r="H84" s="780"/>
      <c r="I84" s="780"/>
      <c r="J84" s="780"/>
      <c r="K84" s="780"/>
      <c r="L84" s="780"/>
      <c r="M84" s="780"/>
      <c r="N84" s="780"/>
    </row>
    <row r="85" spans="1:14" x14ac:dyDescent="0.25">
      <c r="A85" s="780"/>
      <c r="B85" s="780"/>
      <c r="C85" s="780"/>
      <c r="D85" s="780"/>
      <c r="E85" s="780"/>
      <c r="F85" s="780"/>
      <c r="G85" s="780"/>
      <c r="H85" s="780"/>
      <c r="I85" s="780"/>
      <c r="J85" s="780"/>
      <c r="K85" s="780"/>
      <c r="L85" s="780"/>
      <c r="M85" s="780"/>
      <c r="N85" s="780"/>
    </row>
    <row r="86" spans="1:14" x14ac:dyDescent="0.25">
      <c r="A86" s="780" t="s">
        <v>253</v>
      </c>
      <c r="B86" s="780"/>
      <c r="C86" s="780"/>
      <c r="D86" s="780"/>
      <c r="E86" s="780"/>
      <c r="F86" s="780"/>
      <c r="G86" s="780"/>
      <c r="H86" s="780"/>
      <c r="I86" s="780"/>
      <c r="J86" s="780"/>
      <c r="K86" s="780"/>
      <c r="L86" s="780"/>
      <c r="M86" s="780"/>
      <c r="N86" s="780"/>
    </row>
    <row r="87" spans="1:14" x14ac:dyDescent="0.25">
      <c r="A87" s="780"/>
      <c r="B87" s="780"/>
      <c r="C87" s="780"/>
      <c r="D87" s="780"/>
      <c r="E87" s="780"/>
      <c r="F87" s="780"/>
      <c r="G87" s="780"/>
      <c r="H87" s="780"/>
      <c r="I87" s="780"/>
      <c r="J87" s="780"/>
      <c r="K87" s="780"/>
      <c r="L87" s="780"/>
      <c r="M87" s="780"/>
      <c r="N87" s="780"/>
    </row>
    <row r="88" spans="1:14" x14ac:dyDescent="0.25">
      <c r="A88" s="780"/>
      <c r="B88" s="780"/>
      <c r="C88" s="780"/>
      <c r="D88" s="780"/>
      <c r="E88" s="780"/>
      <c r="F88" s="780"/>
      <c r="G88" s="780"/>
      <c r="H88" s="780"/>
      <c r="I88" s="780"/>
      <c r="J88" s="780"/>
      <c r="K88" s="780"/>
      <c r="L88" s="780"/>
      <c r="M88" s="780"/>
      <c r="N88" s="780"/>
    </row>
    <row r="89" spans="1:14" x14ac:dyDescent="0.25">
      <c r="A89" s="780"/>
      <c r="B89" s="780"/>
      <c r="C89" s="780"/>
      <c r="D89" s="780"/>
      <c r="E89" s="780"/>
      <c r="F89" s="780"/>
      <c r="G89" s="780"/>
      <c r="H89" s="780"/>
      <c r="I89" s="780"/>
      <c r="J89" s="780"/>
      <c r="K89" s="780"/>
      <c r="L89" s="780"/>
      <c r="M89" s="780"/>
      <c r="N89" s="780"/>
    </row>
    <row r="90" spans="1:14" x14ac:dyDescent="0.25">
      <c r="A90" s="780"/>
      <c r="B90" s="780"/>
      <c r="C90" s="780"/>
      <c r="D90" s="780"/>
      <c r="E90" s="780"/>
      <c r="F90" s="780"/>
      <c r="G90" s="780"/>
      <c r="H90" s="780"/>
      <c r="I90" s="780"/>
      <c r="J90" s="780"/>
      <c r="K90" s="780"/>
      <c r="L90" s="780"/>
      <c r="M90" s="780"/>
      <c r="N90" s="780"/>
    </row>
    <row r="91" spans="1:14" x14ac:dyDescent="0.25">
      <c r="A91" s="780"/>
      <c r="B91" s="780"/>
      <c r="C91" s="780"/>
      <c r="D91" s="780"/>
      <c r="E91" s="780"/>
      <c r="F91" s="780"/>
      <c r="G91" s="780"/>
      <c r="H91" s="780"/>
      <c r="I91" s="780"/>
      <c r="J91" s="780"/>
      <c r="K91" s="780"/>
      <c r="L91" s="780"/>
      <c r="M91" s="780"/>
      <c r="N91" s="780"/>
    </row>
    <row r="92" spans="1:14" x14ac:dyDescent="0.25">
      <c r="A92" s="780"/>
      <c r="B92" s="780"/>
      <c r="C92" s="780"/>
      <c r="D92" s="780"/>
      <c r="E92" s="780"/>
      <c r="F92" s="780"/>
      <c r="G92" s="780"/>
      <c r="H92" s="780"/>
      <c r="I92" s="780"/>
      <c r="J92" s="780"/>
      <c r="K92" s="780"/>
      <c r="L92" s="780"/>
      <c r="M92" s="780"/>
      <c r="N92" s="780"/>
    </row>
    <row r="93" spans="1:14" x14ac:dyDescent="0.25">
      <c r="A93" s="780"/>
      <c r="B93" s="780"/>
      <c r="C93" s="780"/>
      <c r="D93" s="780"/>
      <c r="E93" s="780"/>
      <c r="F93" s="780"/>
      <c r="G93" s="780"/>
      <c r="H93" s="780"/>
      <c r="I93" s="780"/>
      <c r="J93" s="780"/>
      <c r="K93" s="780"/>
      <c r="L93" s="780"/>
      <c r="M93" s="780"/>
      <c r="N93" s="780"/>
    </row>
    <row r="94" spans="1:14" x14ac:dyDescent="0.25">
      <c r="A94" s="780"/>
      <c r="B94" s="780"/>
      <c r="C94" s="780"/>
      <c r="D94" s="780"/>
      <c r="E94" s="780"/>
      <c r="F94" s="780"/>
      <c r="G94" s="780"/>
      <c r="H94" s="780"/>
      <c r="I94" s="780"/>
      <c r="J94" s="780"/>
      <c r="K94" s="780"/>
      <c r="L94" s="780"/>
      <c r="M94" s="780"/>
      <c r="N94" s="780"/>
    </row>
    <row r="95" spans="1:14" x14ac:dyDescent="0.25">
      <c r="A95" s="780"/>
      <c r="B95" s="780"/>
      <c r="C95" s="780"/>
      <c r="D95" s="780"/>
      <c r="E95" s="780"/>
      <c r="F95" s="780"/>
      <c r="G95" s="780"/>
      <c r="H95" s="780"/>
      <c r="I95" s="780"/>
      <c r="J95" s="780"/>
      <c r="K95" s="780"/>
      <c r="L95" s="780"/>
      <c r="M95" s="780"/>
      <c r="N95" s="780"/>
    </row>
    <row r="96" spans="1:14" x14ac:dyDescent="0.25">
      <c r="A96" s="780"/>
      <c r="B96" s="780"/>
      <c r="C96" s="780"/>
      <c r="D96" s="780"/>
      <c r="E96" s="780"/>
      <c r="F96" s="780"/>
      <c r="G96" s="780"/>
      <c r="H96" s="780"/>
      <c r="I96" s="780"/>
      <c r="J96" s="780"/>
      <c r="K96" s="780"/>
      <c r="L96" s="780"/>
      <c r="M96" s="780"/>
      <c r="N96" s="780"/>
    </row>
    <row r="97" spans="1:14" x14ac:dyDescent="0.25">
      <c r="A97" s="780"/>
      <c r="B97" s="780"/>
      <c r="C97" s="780"/>
      <c r="D97" s="780"/>
      <c r="E97" s="780"/>
      <c r="F97" s="780"/>
      <c r="G97" s="780"/>
      <c r="H97" s="780"/>
      <c r="I97" s="780"/>
      <c r="J97" s="780"/>
      <c r="K97" s="780"/>
      <c r="L97" s="780"/>
      <c r="M97" s="780"/>
      <c r="N97" s="780"/>
    </row>
    <row r="98" spans="1:14" x14ac:dyDescent="0.25">
      <c r="A98" s="780"/>
      <c r="B98" s="780"/>
      <c r="C98" s="780"/>
      <c r="D98" s="780"/>
      <c r="E98" s="780"/>
      <c r="F98" s="780"/>
      <c r="G98" s="780"/>
      <c r="H98" s="780"/>
      <c r="I98" s="780"/>
      <c r="J98" s="780"/>
      <c r="K98" s="780"/>
      <c r="L98" s="780"/>
      <c r="M98" s="780"/>
      <c r="N98" s="780"/>
    </row>
    <row r="99" spans="1:14" x14ac:dyDescent="0.25">
      <c r="A99" s="780"/>
      <c r="B99" s="780"/>
      <c r="C99" s="780"/>
      <c r="D99" s="780"/>
      <c r="E99" s="780"/>
      <c r="F99" s="780"/>
      <c r="G99" s="780"/>
      <c r="H99" s="780"/>
      <c r="I99" s="780"/>
      <c r="J99" s="780"/>
      <c r="K99" s="780"/>
      <c r="L99" s="780"/>
      <c r="M99" s="780"/>
      <c r="N99" s="780"/>
    </row>
    <row r="100" spans="1:14" x14ac:dyDescent="0.25">
      <c r="A100" s="780"/>
      <c r="B100" s="780"/>
      <c r="C100" s="780"/>
      <c r="D100" s="780"/>
      <c r="E100" s="780"/>
      <c r="F100" s="780"/>
      <c r="G100" s="780"/>
      <c r="H100" s="780"/>
      <c r="I100" s="780"/>
      <c r="J100" s="780"/>
      <c r="K100" s="780"/>
      <c r="L100" s="780"/>
      <c r="M100" s="780"/>
      <c r="N100" s="780"/>
    </row>
    <row r="101" spans="1:14" x14ac:dyDescent="0.25">
      <c r="A101" s="780"/>
      <c r="B101" s="780"/>
      <c r="C101" s="780"/>
      <c r="D101" s="780"/>
      <c r="E101" s="780"/>
      <c r="F101" s="780"/>
      <c r="G101" s="780"/>
      <c r="H101" s="780"/>
      <c r="I101" s="780"/>
      <c r="J101" s="780"/>
      <c r="K101" s="780"/>
      <c r="L101" s="780"/>
      <c r="M101" s="780"/>
      <c r="N101" s="780"/>
    </row>
    <row r="102" spans="1:14" x14ac:dyDescent="0.25">
      <c r="A102" s="780"/>
      <c r="B102" s="780"/>
      <c r="C102" s="780"/>
      <c r="D102" s="780"/>
      <c r="E102" s="780"/>
      <c r="F102" s="780"/>
      <c r="G102" s="780"/>
      <c r="H102" s="780"/>
      <c r="I102" s="780"/>
      <c r="J102" s="780"/>
      <c r="K102" s="780"/>
      <c r="L102" s="780"/>
      <c r="M102" s="780"/>
      <c r="N102" s="780"/>
    </row>
    <row r="103" spans="1:14" x14ac:dyDescent="0.25">
      <c r="A103" s="780"/>
      <c r="B103" s="780"/>
      <c r="C103" s="780"/>
      <c r="D103" s="780"/>
      <c r="E103" s="780"/>
      <c r="F103" s="780"/>
      <c r="G103" s="780"/>
      <c r="H103" s="780"/>
      <c r="I103" s="780"/>
      <c r="J103" s="780"/>
      <c r="K103" s="780"/>
      <c r="L103" s="780"/>
      <c r="M103" s="780"/>
      <c r="N103" s="780"/>
    </row>
    <row r="104" spans="1:14" x14ac:dyDescent="0.25">
      <c r="A104" s="780" t="s">
        <v>254</v>
      </c>
      <c r="B104" s="780"/>
      <c r="C104" s="780"/>
      <c r="D104" s="780"/>
      <c r="E104" s="780"/>
      <c r="F104" s="780"/>
      <c r="G104" s="780"/>
      <c r="H104" s="780"/>
      <c r="I104" s="780"/>
      <c r="J104" s="780"/>
      <c r="K104" s="780"/>
      <c r="L104" s="780"/>
      <c r="M104" s="780"/>
      <c r="N104" s="780"/>
    </row>
    <row r="105" spans="1:14" ht="21.6" customHeight="1" x14ac:dyDescent="0.25">
      <c r="A105" s="780"/>
      <c r="B105" s="780"/>
      <c r="C105" s="780"/>
      <c r="D105" s="780"/>
      <c r="E105" s="780"/>
      <c r="F105" s="780"/>
      <c r="G105" s="780"/>
      <c r="H105" s="780"/>
      <c r="I105" s="780"/>
      <c r="J105" s="780"/>
      <c r="K105" s="780"/>
      <c r="L105" s="780"/>
      <c r="M105" s="780"/>
      <c r="N105" s="780"/>
    </row>
    <row r="106" spans="1:14" ht="21.6" customHeight="1" x14ac:dyDescent="0.25">
      <c r="A106" s="780"/>
      <c r="B106" s="780"/>
      <c r="C106" s="780"/>
      <c r="D106" s="780"/>
      <c r="E106" s="780"/>
      <c r="F106" s="780"/>
      <c r="G106" s="780"/>
      <c r="H106" s="780"/>
      <c r="I106" s="780"/>
      <c r="J106" s="780"/>
      <c r="K106" s="780"/>
      <c r="L106" s="780"/>
      <c r="M106" s="780"/>
      <c r="N106" s="780"/>
    </row>
    <row r="107" spans="1:14" ht="21.6" customHeight="1" x14ac:dyDescent="0.25">
      <c r="A107" s="780"/>
      <c r="B107" s="780"/>
      <c r="C107" s="780"/>
      <c r="D107" s="780"/>
      <c r="E107" s="780"/>
      <c r="F107" s="780"/>
      <c r="G107" s="780"/>
      <c r="H107" s="780"/>
      <c r="I107" s="780"/>
      <c r="J107" s="780"/>
      <c r="K107" s="780"/>
      <c r="L107" s="780"/>
      <c r="M107" s="780"/>
      <c r="N107" s="780"/>
    </row>
    <row r="108" spans="1:14" ht="21.6" customHeight="1" x14ac:dyDescent="0.25">
      <c r="A108" s="780"/>
      <c r="B108" s="780"/>
      <c r="C108" s="780"/>
      <c r="D108" s="780"/>
      <c r="E108" s="780"/>
      <c r="F108" s="780"/>
      <c r="G108" s="780"/>
      <c r="H108" s="780"/>
      <c r="I108" s="780"/>
      <c r="J108" s="780"/>
      <c r="K108" s="780"/>
      <c r="L108" s="780"/>
      <c r="M108" s="780"/>
      <c r="N108" s="780"/>
    </row>
    <row r="109" spans="1:14" ht="21.6" customHeight="1" x14ac:dyDescent="0.25">
      <c r="A109" s="780"/>
      <c r="B109" s="780"/>
      <c r="C109" s="780"/>
      <c r="D109" s="780"/>
      <c r="E109" s="780"/>
      <c r="F109" s="780"/>
      <c r="G109" s="780"/>
      <c r="H109" s="780"/>
      <c r="I109" s="780"/>
      <c r="J109" s="780"/>
      <c r="K109" s="780"/>
      <c r="L109" s="780"/>
      <c r="M109" s="780"/>
      <c r="N109" s="780"/>
    </row>
    <row r="110" spans="1:14" ht="21.6" customHeight="1" x14ac:dyDescent="0.25">
      <c r="A110" s="780"/>
      <c r="B110" s="780"/>
      <c r="C110" s="780"/>
      <c r="D110" s="780"/>
      <c r="E110" s="780"/>
      <c r="F110" s="780"/>
      <c r="G110" s="780"/>
      <c r="H110" s="780"/>
      <c r="I110" s="780"/>
      <c r="J110" s="780"/>
      <c r="K110" s="780"/>
      <c r="L110" s="780"/>
      <c r="M110" s="780"/>
      <c r="N110" s="780"/>
    </row>
    <row r="111" spans="1:14" ht="21.6" customHeight="1" x14ac:dyDescent="0.25">
      <c r="A111" s="780"/>
      <c r="B111" s="780"/>
      <c r="C111" s="780"/>
      <c r="D111" s="780"/>
      <c r="E111" s="780"/>
      <c r="F111" s="780"/>
      <c r="G111" s="780"/>
      <c r="H111" s="780"/>
      <c r="I111" s="780"/>
      <c r="J111" s="780"/>
      <c r="K111" s="780"/>
      <c r="L111" s="780"/>
      <c r="M111" s="780"/>
      <c r="N111" s="780"/>
    </row>
    <row r="112" spans="1:14" ht="21.6" customHeight="1" x14ac:dyDescent="0.25">
      <c r="A112" s="780"/>
      <c r="B112" s="780"/>
      <c r="C112" s="780"/>
      <c r="D112" s="780"/>
      <c r="E112" s="780"/>
      <c r="F112" s="780"/>
      <c r="G112" s="780"/>
      <c r="H112" s="780"/>
      <c r="I112" s="780"/>
      <c r="J112" s="780"/>
      <c r="K112" s="780"/>
      <c r="L112" s="780"/>
      <c r="M112" s="780"/>
      <c r="N112" s="780"/>
    </row>
    <row r="113" spans="1:14" ht="21.6" customHeight="1" x14ac:dyDescent="0.25">
      <c r="A113" s="780"/>
      <c r="B113" s="780"/>
      <c r="C113" s="780"/>
      <c r="D113" s="780"/>
      <c r="E113" s="780"/>
      <c r="F113" s="780"/>
      <c r="G113" s="780"/>
      <c r="H113" s="780"/>
      <c r="I113" s="780"/>
      <c r="J113" s="780"/>
      <c r="K113" s="780"/>
      <c r="L113" s="780"/>
      <c r="M113" s="780"/>
      <c r="N113" s="780"/>
    </row>
    <row r="114" spans="1:14" ht="21.6" customHeight="1" x14ac:dyDescent="0.25">
      <c r="A114" s="780"/>
      <c r="B114" s="780"/>
      <c r="C114" s="780"/>
      <c r="D114" s="780"/>
      <c r="E114" s="780"/>
      <c r="F114" s="780"/>
      <c r="G114" s="780"/>
      <c r="H114" s="780"/>
      <c r="I114" s="780"/>
      <c r="J114" s="780"/>
      <c r="K114" s="780"/>
      <c r="L114" s="780"/>
      <c r="M114" s="780"/>
      <c r="N114" s="780"/>
    </row>
    <row r="115" spans="1:14" ht="21.6" customHeight="1" x14ac:dyDescent="0.25">
      <c r="A115" s="780"/>
      <c r="B115" s="780"/>
      <c r="C115" s="780"/>
      <c r="D115" s="780"/>
      <c r="E115" s="780"/>
      <c r="F115" s="780"/>
      <c r="G115" s="780"/>
      <c r="H115" s="780"/>
      <c r="I115" s="780"/>
      <c r="J115" s="780"/>
      <c r="K115" s="780"/>
      <c r="L115" s="780"/>
      <c r="M115" s="780"/>
      <c r="N115" s="780"/>
    </row>
    <row r="116" spans="1:14" ht="21.6" customHeight="1" x14ac:dyDescent="0.25">
      <c r="A116" s="780"/>
      <c r="B116" s="780"/>
      <c r="C116" s="780"/>
      <c r="D116" s="780"/>
      <c r="E116" s="780"/>
      <c r="F116" s="780"/>
      <c r="G116" s="780"/>
      <c r="H116" s="780"/>
      <c r="I116" s="780"/>
      <c r="J116" s="780"/>
      <c r="K116" s="780"/>
      <c r="L116" s="780"/>
      <c r="M116" s="780"/>
      <c r="N116" s="780"/>
    </row>
    <row r="117" spans="1:14" ht="21.6" customHeight="1" x14ac:dyDescent="0.25">
      <c r="A117" s="780"/>
      <c r="B117" s="780"/>
      <c r="C117" s="780"/>
      <c r="D117" s="780"/>
      <c r="E117" s="780"/>
      <c r="F117" s="780"/>
      <c r="G117" s="780"/>
      <c r="H117" s="780"/>
      <c r="I117" s="780"/>
      <c r="J117" s="780"/>
      <c r="K117" s="780"/>
      <c r="L117" s="780"/>
      <c r="M117" s="780"/>
      <c r="N117" s="780"/>
    </row>
    <row r="118" spans="1:14" ht="21.6" customHeight="1" x14ac:dyDescent="0.25">
      <c r="A118" s="780"/>
      <c r="B118" s="780"/>
      <c r="C118" s="780"/>
      <c r="D118" s="780"/>
      <c r="E118" s="780"/>
      <c r="F118" s="780"/>
      <c r="G118" s="780"/>
      <c r="H118" s="780"/>
      <c r="I118" s="780"/>
      <c r="J118" s="780"/>
      <c r="K118" s="780"/>
      <c r="L118" s="780"/>
      <c r="M118" s="780"/>
      <c r="N118" s="780"/>
    </row>
    <row r="119" spans="1:14" ht="21.6" customHeight="1" x14ac:dyDescent="0.25">
      <c r="A119" s="780"/>
      <c r="B119" s="780"/>
      <c r="C119" s="780"/>
      <c r="D119" s="780"/>
      <c r="E119" s="780"/>
      <c r="F119" s="780"/>
      <c r="G119" s="780"/>
      <c r="H119" s="780"/>
      <c r="I119" s="780"/>
      <c r="J119" s="780"/>
      <c r="K119" s="780"/>
      <c r="L119" s="780"/>
      <c r="M119" s="780"/>
      <c r="N119" s="780"/>
    </row>
    <row r="120" spans="1:14" ht="21.6" customHeight="1" x14ac:dyDescent="0.25">
      <c r="A120" s="780"/>
      <c r="B120" s="780"/>
      <c r="C120" s="780"/>
      <c r="D120" s="780"/>
      <c r="E120" s="780"/>
      <c r="F120" s="780"/>
      <c r="G120" s="780"/>
      <c r="H120" s="780"/>
      <c r="I120" s="780"/>
      <c r="J120" s="780"/>
      <c r="K120" s="780"/>
      <c r="L120" s="780"/>
      <c r="M120" s="780"/>
      <c r="N120" s="780"/>
    </row>
    <row r="121" spans="1:14" ht="21.6" customHeight="1" x14ac:dyDescent="0.25">
      <c r="A121" s="780"/>
      <c r="B121" s="780"/>
      <c r="C121" s="780"/>
      <c r="D121" s="780"/>
      <c r="E121" s="780"/>
      <c r="F121" s="780"/>
      <c r="G121" s="780"/>
      <c r="H121" s="780"/>
      <c r="I121" s="780"/>
      <c r="J121" s="780"/>
      <c r="K121" s="780"/>
      <c r="L121" s="780"/>
      <c r="M121" s="780"/>
      <c r="N121" s="780"/>
    </row>
  </sheetData>
  <mergeCells count="13">
    <mergeCell ref="A1:N1"/>
    <mergeCell ref="A2:N2"/>
    <mergeCell ref="A25:N67"/>
    <mergeCell ref="A3:N12"/>
    <mergeCell ref="A24:N24"/>
    <mergeCell ref="A13:N13"/>
    <mergeCell ref="A14:N23"/>
    <mergeCell ref="A104:N104"/>
    <mergeCell ref="A105:N121"/>
    <mergeCell ref="A68:N68"/>
    <mergeCell ref="A69:N85"/>
    <mergeCell ref="A86:N86"/>
    <mergeCell ref="A87:N10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 codeName="Hoja8">
    <tabColor rgb="FF00B050"/>
  </sheetPr>
  <dimension ref="A1:GB108"/>
  <sheetViews>
    <sheetView zoomScale="85" zoomScaleNormal="85" workbookViewId="0">
      <selection activeCell="A43" sqref="A43"/>
    </sheetView>
  </sheetViews>
  <sheetFormatPr baseColWidth="10" defaultRowHeight="15" x14ac:dyDescent="0.25"/>
  <cols>
    <col min="1" max="1" width="55" bestFit="1" customWidth="1"/>
    <col min="2" max="6" width="11.7109375" style="85" customWidth="1"/>
    <col min="7" max="7" width="11.7109375" style="90" customWidth="1"/>
    <col min="8" max="13" width="11.7109375" style="85" customWidth="1"/>
    <col min="14" max="14" width="11.7109375" style="91" customWidth="1"/>
    <col min="15" max="19" width="11.7109375" style="86" customWidth="1"/>
    <col min="20" max="20" width="9.5703125" style="86" customWidth="1"/>
    <col min="21" max="21" width="9.5703125" style="91" customWidth="1"/>
    <col min="22" max="22" width="9.5703125" style="86" customWidth="1"/>
    <col min="23" max="24" width="9.5703125" style="85" customWidth="1"/>
    <col min="25" max="31" width="9.5703125" style="86" customWidth="1"/>
    <col min="32" max="32" width="13" bestFit="1" customWidth="1"/>
    <col min="33" max="33" width="15.7109375" bestFit="1" customWidth="1"/>
    <col min="34" max="34" width="12.5703125" bestFit="1" customWidth="1"/>
    <col min="35" max="35" width="15.5703125" bestFit="1" customWidth="1"/>
    <col min="36" max="36" width="12.5703125" bestFit="1" customWidth="1"/>
    <col min="37" max="37" width="15.5703125" bestFit="1" customWidth="1"/>
    <col min="38" max="38" width="12.5703125" bestFit="1" customWidth="1"/>
    <col min="39" max="39" width="15.5703125" bestFit="1" customWidth="1"/>
    <col min="40" max="40" width="12.5703125" bestFit="1" customWidth="1"/>
    <col min="41" max="41" width="15.5703125" bestFit="1" customWidth="1"/>
    <col min="42" max="42" width="12.5703125" bestFit="1" customWidth="1"/>
    <col min="43" max="43" width="15.5703125" bestFit="1" customWidth="1"/>
    <col min="44" max="44" width="12.5703125" bestFit="1" customWidth="1"/>
    <col min="45" max="45" width="15.5703125" bestFit="1" customWidth="1"/>
    <col min="46" max="46" width="12.5703125" bestFit="1" customWidth="1"/>
    <col min="47" max="47" width="15.5703125" bestFit="1" customWidth="1"/>
    <col min="48" max="48" width="12.5703125" bestFit="1" customWidth="1"/>
    <col min="49" max="49" width="15.5703125" bestFit="1" customWidth="1"/>
    <col min="50" max="50" width="12.5703125" bestFit="1" customWidth="1"/>
    <col min="51" max="51" width="15.5703125" bestFit="1" customWidth="1"/>
    <col min="52" max="52" width="12.5703125" bestFit="1" customWidth="1"/>
    <col min="53" max="53" width="15.5703125" bestFit="1" customWidth="1"/>
    <col min="54" max="54" width="12.5703125" bestFit="1" customWidth="1"/>
    <col min="55" max="55" width="15.5703125" bestFit="1" customWidth="1"/>
    <col min="56" max="56" width="12.5703125" bestFit="1" customWidth="1"/>
    <col min="57" max="57" width="15.5703125" bestFit="1" customWidth="1"/>
    <col min="58" max="58" width="12.5703125" bestFit="1" customWidth="1"/>
    <col min="59" max="59" width="15.5703125" bestFit="1" customWidth="1"/>
    <col min="60" max="60" width="12.5703125" bestFit="1" customWidth="1"/>
    <col min="61" max="61" width="15.5703125" bestFit="1" customWidth="1"/>
    <col min="62" max="62" width="11.5703125" bestFit="1" customWidth="1"/>
    <col min="63" max="63" width="14.5703125" bestFit="1" customWidth="1"/>
    <col min="64" max="65" width="12.5703125" bestFit="1" customWidth="1"/>
    <col min="66" max="165" width="22.42578125" bestFit="1" customWidth="1"/>
    <col min="166" max="166" width="31.85546875" bestFit="1" customWidth="1"/>
    <col min="167" max="167" width="38.5703125" bestFit="1" customWidth="1"/>
    <col min="168" max="168" width="39.28515625" bestFit="1" customWidth="1"/>
    <col min="169" max="169" width="34.5703125" bestFit="1" customWidth="1"/>
    <col min="170" max="170" width="35.28515625" bestFit="1" customWidth="1"/>
    <col min="171" max="172" width="24.7109375" bestFit="1" customWidth="1"/>
    <col min="173" max="173" width="15.42578125" bestFit="1" customWidth="1"/>
    <col min="174" max="174" width="22.28515625" bestFit="1" customWidth="1"/>
    <col min="175" max="175" width="23.42578125" bestFit="1" customWidth="1"/>
    <col min="176" max="176" width="23.5703125" bestFit="1" customWidth="1"/>
    <col min="177" max="177" width="24.28515625" bestFit="1" customWidth="1"/>
    <col min="178" max="179" width="24.7109375" bestFit="1" customWidth="1"/>
    <col min="180" max="180" width="17.5703125" bestFit="1" customWidth="1"/>
    <col min="181" max="181" width="24.28515625" bestFit="1" customWidth="1"/>
    <col min="182" max="182" width="25" bestFit="1" customWidth="1"/>
    <col min="183" max="183" width="25.140625" bestFit="1" customWidth="1"/>
    <col min="184" max="184" width="25.42578125" bestFit="1" customWidth="1"/>
    <col min="185" max="185" width="43.140625" bestFit="1" customWidth="1"/>
    <col min="186" max="186" width="42.42578125" bestFit="1" customWidth="1"/>
  </cols>
  <sheetData>
    <row r="1" spans="1:184" s="38" customFormat="1" ht="15.75" customHeight="1" thickBot="1" x14ac:dyDescent="0.3">
      <c r="A1" s="793" t="s">
        <v>5</v>
      </c>
      <c r="B1" s="794"/>
      <c r="C1" s="794"/>
      <c r="D1" s="794"/>
      <c r="E1" s="794"/>
      <c r="F1" s="795"/>
      <c r="G1" s="90"/>
      <c r="H1" s="90"/>
      <c r="I1" s="90"/>
      <c r="J1" s="90"/>
      <c r="K1" s="90"/>
      <c r="L1" s="90"/>
      <c r="M1" s="90"/>
      <c r="N1" s="91"/>
      <c r="O1" s="91"/>
      <c r="P1" s="91"/>
      <c r="Q1" s="91"/>
      <c r="R1" s="91"/>
      <c r="S1" s="91"/>
      <c r="T1" s="91"/>
      <c r="U1" s="91"/>
      <c r="V1" s="91"/>
      <c r="W1" s="90"/>
      <c r="X1" s="90"/>
      <c r="Y1" s="91"/>
      <c r="Z1" s="91"/>
      <c r="AA1" s="91"/>
      <c r="AB1" s="91"/>
      <c r="AC1" s="91"/>
      <c r="AD1" s="91"/>
      <c r="AE1" s="91"/>
    </row>
    <row r="2" spans="1:184" s="88" customFormat="1" thickBot="1" x14ac:dyDescent="0.3">
      <c r="A2" s="353"/>
      <c r="B2" s="353" t="s">
        <v>80</v>
      </c>
      <c r="C2" s="354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6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.75" thickBot="1" x14ac:dyDescent="0.3">
      <c r="A3" s="364" t="s">
        <v>7</v>
      </c>
      <c r="B3" s="357">
        <v>1</v>
      </c>
      <c r="C3" s="358">
        <v>2</v>
      </c>
      <c r="D3" s="358">
        <v>3</v>
      </c>
      <c r="E3" s="358">
        <v>4</v>
      </c>
      <c r="F3" s="358">
        <v>5</v>
      </c>
      <c r="G3" s="358">
        <v>6</v>
      </c>
      <c r="H3" s="358">
        <v>7</v>
      </c>
      <c r="I3" s="358">
        <v>8</v>
      </c>
      <c r="J3" s="358">
        <v>9</v>
      </c>
      <c r="K3" s="358">
        <v>10</v>
      </c>
      <c r="L3" s="358">
        <v>11</v>
      </c>
      <c r="M3" s="358">
        <v>12</v>
      </c>
      <c r="N3" s="358">
        <v>13</v>
      </c>
      <c r="O3" s="358">
        <v>14</v>
      </c>
      <c r="P3" s="358">
        <v>15</v>
      </c>
      <c r="Q3" s="358">
        <v>16</v>
      </c>
      <c r="R3" s="358">
        <v>17</v>
      </c>
      <c r="S3" s="358">
        <v>18</v>
      </c>
      <c r="T3" s="358">
        <v>19</v>
      </c>
      <c r="U3" s="358">
        <v>20</v>
      </c>
      <c r="V3" s="358">
        <v>21</v>
      </c>
      <c r="W3" s="358">
        <v>22</v>
      </c>
      <c r="X3" s="358">
        <v>23</v>
      </c>
      <c r="Y3" s="358">
        <v>24</v>
      </c>
      <c r="Z3" s="358">
        <v>25</v>
      </c>
      <c r="AA3" s="358">
        <v>26</v>
      </c>
      <c r="AB3" s="358">
        <v>27</v>
      </c>
      <c r="AC3" s="358">
        <v>28</v>
      </c>
      <c r="AD3" s="358">
        <v>29</v>
      </c>
      <c r="AE3" s="359">
        <v>30</v>
      </c>
      <c r="AF3" s="360" t="s">
        <v>72</v>
      </c>
    </row>
    <row r="4" spans="1:184" ht="14.25" x14ac:dyDescent="0.25">
      <c r="A4" s="361" t="s">
        <v>82</v>
      </c>
      <c r="B4" s="664">
        <v>0</v>
      </c>
      <c r="C4" s="665">
        <v>180</v>
      </c>
      <c r="D4" s="665">
        <v>0</v>
      </c>
      <c r="E4" s="665">
        <v>0</v>
      </c>
      <c r="F4" s="665">
        <v>0</v>
      </c>
      <c r="G4" s="665">
        <v>150</v>
      </c>
      <c r="H4" s="665">
        <v>150</v>
      </c>
      <c r="I4" s="665">
        <v>370</v>
      </c>
      <c r="J4" s="665">
        <v>430</v>
      </c>
      <c r="K4" s="665">
        <v>200</v>
      </c>
      <c r="L4" s="665">
        <v>180</v>
      </c>
      <c r="M4" s="665">
        <v>0</v>
      </c>
      <c r="N4" s="665">
        <v>350</v>
      </c>
      <c r="O4" s="665">
        <v>200</v>
      </c>
      <c r="P4" s="665">
        <v>200</v>
      </c>
      <c r="Q4" s="665">
        <v>320</v>
      </c>
      <c r="R4" s="665">
        <v>560</v>
      </c>
      <c r="S4" s="665">
        <v>455</v>
      </c>
      <c r="T4" s="665">
        <v>0</v>
      </c>
      <c r="U4" s="665">
        <v>75</v>
      </c>
      <c r="V4" s="665">
        <v>280</v>
      </c>
      <c r="W4" s="665">
        <v>310</v>
      </c>
      <c r="X4" s="665">
        <v>320</v>
      </c>
      <c r="Y4" s="665">
        <v>310</v>
      </c>
      <c r="Z4" s="665">
        <v>300</v>
      </c>
      <c r="AA4" s="665">
        <v>230</v>
      </c>
      <c r="AB4" s="665">
        <v>480</v>
      </c>
      <c r="AC4" s="665">
        <v>520</v>
      </c>
      <c r="AD4" s="665">
        <v>260</v>
      </c>
      <c r="AE4" s="665">
        <v>340</v>
      </c>
      <c r="AF4" s="666">
        <v>7170</v>
      </c>
    </row>
    <row r="5" spans="1:184" ht="14.25" x14ac:dyDescent="0.25">
      <c r="A5" s="362" t="s">
        <v>83</v>
      </c>
      <c r="B5" s="667">
        <v>0</v>
      </c>
      <c r="C5" s="70">
        <v>120</v>
      </c>
      <c r="D5" s="70">
        <v>0</v>
      </c>
      <c r="E5" s="70">
        <v>0</v>
      </c>
      <c r="F5" s="70">
        <v>0</v>
      </c>
      <c r="G5" s="70">
        <v>430</v>
      </c>
      <c r="H5" s="70">
        <v>420</v>
      </c>
      <c r="I5" s="70">
        <v>340</v>
      </c>
      <c r="J5" s="70">
        <v>210</v>
      </c>
      <c r="K5" s="70">
        <v>420</v>
      </c>
      <c r="L5" s="70">
        <v>370</v>
      </c>
      <c r="M5" s="70">
        <v>0</v>
      </c>
      <c r="N5" s="70">
        <v>300</v>
      </c>
      <c r="O5" s="70">
        <v>570</v>
      </c>
      <c r="P5" s="70">
        <v>350</v>
      </c>
      <c r="Q5" s="70">
        <v>510</v>
      </c>
      <c r="R5" s="70">
        <v>540</v>
      </c>
      <c r="S5" s="70">
        <v>500</v>
      </c>
      <c r="T5" s="70">
        <v>0</v>
      </c>
      <c r="U5" s="70">
        <v>430</v>
      </c>
      <c r="V5" s="70">
        <v>380</v>
      </c>
      <c r="W5" s="70">
        <v>650</v>
      </c>
      <c r="X5" s="70">
        <v>360</v>
      </c>
      <c r="Y5" s="70">
        <v>310</v>
      </c>
      <c r="Z5" s="70">
        <v>410</v>
      </c>
      <c r="AA5" s="70">
        <v>100</v>
      </c>
      <c r="AB5" s="70">
        <v>440</v>
      </c>
      <c r="AC5" s="70">
        <v>610</v>
      </c>
      <c r="AD5" s="70">
        <v>530</v>
      </c>
      <c r="AE5" s="70">
        <v>530</v>
      </c>
      <c r="AF5" s="668">
        <v>9830</v>
      </c>
    </row>
    <row r="6" spans="1:184" ht="14.25" x14ac:dyDescent="0.25">
      <c r="A6" s="362" t="s">
        <v>84</v>
      </c>
      <c r="B6" s="667">
        <v>0</v>
      </c>
      <c r="C6" s="70">
        <v>90</v>
      </c>
      <c r="D6" s="70">
        <v>0</v>
      </c>
      <c r="E6" s="70">
        <v>0</v>
      </c>
      <c r="F6" s="70">
        <v>0</v>
      </c>
      <c r="G6" s="70">
        <v>70</v>
      </c>
      <c r="H6" s="70">
        <v>120</v>
      </c>
      <c r="I6" s="70">
        <v>100</v>
      </c>
      <c r="J6" s="70">
        <v>70</v>
      </c>
      <c r="K6" s="70">
        <v>140</v>
      </c>
      <c r="L6" s="70">
        <v>190</v>
      </c>
      <c r="M6" s="70">
        <v>0</v>
      </c>
      <c r="N6" s="70">
        <v>150</v>
      </c>
      <c r="O6" s="70">
        <v>120</v>
      </c>
      <c r="P6" s="70">
        <v>180</v>
      </c>
      <c r="Q6" s="70">
        <v>200</v>
      </c>
      <c r="R6" s="70">
        <v>250</v>
      </c>
      <c r="S6" s="70">
        <v>305</v>
      </c>
      <c r="T6" s="70">
        <v>0</v>
      </c>
      <c r="U6" s="70">
        <v>175</v>
      </c>
      <c r="V6" s="70">
        <v>190</v>
      </c>
      <c r="W6" s="70">
        <v>290</v>
      </c>
      <c r="X6" s="70">
        <v>150</v>
      </c>
      <c r="Y6" s="70">
        <v>150</v>
      </c>
      <c r="Z6" s="70">
        <v>140</v>
      </c>
      <c r="AA6" s="70">
        <v>30</v>
      </c>
      <c r="AB6" s="70">
        <v>140</v>
      </c>
      <c r="AC6" s="70">
        <v>180</v>
      </c>
      <c r="AD6" s="70">
        <v>250</v>
      </c>
      <c r="AE6" s="70">
        <v>160</v>
      </c>
      <c r="AF6" s="668">
        <v>3840</v>
      </c>
    </row>
    <row r="7" spans="1:184" ht="14.25" x14ac:dyDescent="0.25">
      <c r="A7" s="362" t="s">
        <v>85</v>
      </c>
      <c r="B7" s="667">
        <v>0</v>
      </c>
      <c r="C7" s="70">
        <v>10</v>
      </c>
      <c r="D7" s="70">
        <v>0</v>
      </c>
      <c r="E7" s="70">
        <v>0</v>
      </c>
      <c r="F7" s="70">
        <v>0</v>
      </c>
      <c r="G7" s="70">
        <v>5</v>
      </c>
      <c r="H7" s="70">
        <v>5</v>
      </c>
      <c r="I7" s="70">
        <v>5</v>
      </c>
      <c r="J7" s="70">
        <v>10</v>
      </c>
      <c r="K7" s="70">
        <v>10</v>
      </c>
      <c r="L7" s="70">
        <v>0</v>
      </c>
      <c r="M7" s="70">
        <v>0</v>
      </c>
      <c r="N7" s="70">
        <v>5</v>
      </c>
      <c r="O7" s="70">
        <v>15</v>
      </c>
      <c r="P7" s="70">
        <v>5</v>
      </c>
      <c r="Q7" s="70">
        <v>10</v>
      </c>
      <c r="R7" s="70">
        <v>5</v>
      </c>
      <c r="S7" s="70">
        <v>5</v>
      </c>
      <c r="T7" s="70">
        <v>0</v>
      </c>
      <c r="U7" s="70">
        <v>5</v>
      </c>
      <c r="V7" s="70">
        <v>10</v>
      </c>
      <c r="W7" s="70">
        <v>10</v>
      </c>
      <c r="X7" s="70">
        <v>10</v>
      </c>
      <c r="Y7" s="70">
        <v>5</v>
      </c>
      <c r="Z7" s="70">
        <v>5</v>
      </c>
      <c r="AA7" s="70">
        <v>5</v>
      </c>
      <c r="AB7" s="70">
        <v>15</v>
      </c>
      <c r="AC7" s="70">
        <v>10</v>
      </c>
      <c r="AD7" s="70">
        <v>15</v>
      </c>
      <c r="AE7" s="70">
        <v>15</v>
      </c>
      <c r="AF7" s="668">
        <v>195</v>
      </c>
    </row>
    <row r="8" spans="1:184" thickBot="1" x14ac:dyDescent="0.3">
      <c r="A8" s="363" t="s">
        <v>86</v>
      </c>
      <c r="B8" s="667">
        <v>0</v>
      </c>
      <c r="C8" s="70">
        <v>10</v>
      </c>
      <c r="D8" s="70">
        <v>0</v>
      </c>
      <c r="E8" s="70">
        <v>0</v>
      </c>
      <c r="F8" s="70">
        <v>0</v>
      </c>
      <c r="G8" s="70">
        <v>15</v>
      </c>
      <c r="H8" s="70">
        <v>10</v>
      </c>
      <c r="I8" s="70">
        <v>10</v>
      </c>
      <c r="J8" s="70">
        <v>15</v>
      </c>
      <c r="K8" s="70">
        <v>15</v>
      </c>
      <c r="L8" s="70">
        <v>10</v>
      </c>
      <c r="M8" s="70">
        <v>0</v>
      </c>
      <c r="N8" s="70">
        <v>20</v>
      </c>
      <c r="O8" s="70">
        <v>20</v>
      </c>
      <c r="P8" s="70">
        <v>20</v>
      </c>
      <c r="Q8" s="70">
        <v>10</v>
      </c>
      <c r="R8" s="70">
        <v>15</v>
      </c>
      <c r="S8" s="70">
        <v>15</v>
      </c>
      <c r="T8" s="70">
        <v>15</v>
      </c>
      <c r="U8" s="70">
        <v>15</v>
      </c>
      <c r="V8" s="70">
        <v>15</v>
      </c>
      <c r="W8" s="70">
        <v>15</v>
      </c>
      <c r="X8" s="70">
        <v>20</v>
      </c>
      <c r="Y8" s="70">
        <v>5</v>
      </c>
      <c r="Z8" s="70">
        <v>15</v>
      </c>
      <c r="AA8" s="70">
        <v>10</v>
      </c>
      <c r="AB8" s="70">
        <v>20</v>
      </c>
      <c r="AC8" s="70">
        <v>10</v>
      </c>
      <c r="AD8" s="70">
        <v>15</v>
      </c>
      <c r="AE8" s="70">
        <v>15</v>
      </c>
      <c r="AF8" s="668">
        <v>355</v>
      </c>
    </row>
    <row r="9" spans="1:184" ht="14.25" x14ac:dyDescent="0.25">
      <c r="A9" s="144" t="s">
        <v>226</v>
      </c>
      <c r="B9" s="667">
        <v>0</v>
      </c>
      <c r="C9" s="70">
        <v>880</v>
      </c>
      <c r="D9" s="70">
        <v>0</v>
      </c>
      <c r="E9" s="70">
        <v>0</v>
      </c>
      <c r="F9" s="70">
        <v>0</v>
      </c>
      <c r="G9" s="70">
        <v>1040</v>
      </c>
      <c r="H9" s="70">
        <v>1079</v>
      </c>
      <c r="I9" s="70">
        <v>1200</v>
      </c>
      <c r="J9" s="70">
        <v>1280</v>
      </c>
      <c r="K9" s="70">
        <v>1520</v>
      </c>
      <c r="L9" s="70">
        <v>1040</v>
      </c>
      <c r="M9" s="70">
        <v>0</v>
      </c>
      <c r="N9" s="70">
        <v>1360</v>
      </c>
      <c r="O9" s="70">
        <v>1280</v>
      </c>
      <c r="P9" s="70">
        <v>1200</v>
      </c>
      <c r="Q9" s="70">
        <v>1600</v>
      </c>
      <c r="R9" s="70">
        <v>1440</v>
      </c>
      <c r="S9" s="70">
        <v>1680</v>
      </c>
      <c r="T9" s="70">
        <v>0</v>
      </c>
      <c r="U9" s="70">
        <v>1600</v>
      </c>
      <c r="V9" s="70">
        <v>1360</v>
      </c>
      <c r="W9" s="70">
        <v>1520</v>
      </c>
      <c r="X9" s="70">
        <v>1495</v>
      </c>
      <c r="Y9" s="70">
        <v>1360</v>
      </c>
      <c r="Z9" s="70">
        <v>1360</v>
      </c>
      <c r="AA9" s="70">
        <v>800</v>
      </c>
      <c r="AB9" s="70">
        <v>1520</v>
      </c>
      <c r="AC9" s="70">
        <v>1600</v>
      </c>
      <c r="AD9" s="70">
        <v>1680</v>
      </c>
      <c r="AE9" s="70">
        <v>1520</v>
      </c>
      <c r="AF9" s="668">
        <v>32414</v>
      </c>
    </row>
    <row r="10" spans="1:184" thickBot="1" x14ac:dyDescent="0.3">
      <c r="A10" s="420" t="s">
        <v>227</v>
      </c>
      <c r="B10" s="239">
        <v>0</v>
      </c>
      <c r="C10" s="240">
        <v>2001.6698863636364</v>
      </c>
      <c r="D10" s="240">
        <v>0</v>
      </c>
      <c r="E10" s="240">
        <v>0</v>
      </c>
      <c r="F10" s="240">
        <v>0</v>
      </c>
      <c r="G10" s="240">
        <v>2638.6711538461536</v>
      </c>
      <c r="H10" s="240">
        <v>2771.1464318813714</v>
      </c>
      <c r="I10" s="240">
        <v>2309.4699999999998</v>
      </c>
      <c r="J10" s="240">
        <v>1812.61015625</v>
      </c>
      <c r="K10" s="240">
        <v>2241.3763157894737</v>
      </c>
      <c r="L10" s="240">
        <v>3164.7182692307692</v>
      </c>
      <c r="M10" s="240">
        <v>0</v>
      </c>
      <c r="N10" s="240">
        <v>2363.5055147058824</v>
      </c>
      <c r="O10" s="240">
        <v>3136.7925781250001</v>
      </c>
      <c r="P10" s="240">
        <v>2896.0604166666667</v>
      </c>
      <c r="Q10" s="240">
        <v>2646.4334374999999</v>
      </c>
      <c r="R10" s="240">
        <v>3481.7406249999999</v>
      </c>
      <c r="S10" s="240">
        <v>3085.6183035714284</v>
      </c>
      <c r="T10" s="240">
        <v>0</v>
      </c>
      <c r="U10" s="240">
        <v>2180.94484375</v>
      </c>
      <c r="V10" s="240">
        <v>2748.0113970588236</v>
      </c>
      <c r="W10" s="240">
        <v>3660.9736842105262</v>
      </c>
      <c r="X10" s="240">
        <v>2341.9923076923078</v>
      </c>
      <c r="Y10" s="240">
        <v>2116.0264705882355</v>
      </c>
      <c r="Z10" s="240">
        <v>2486.9143382352941</v>
      </c>
      <c r="AA10" s="240">
        <v>1466.7093749999999</v>
      </c>
      <c r="AB10" s="240">
        <v>2624.4664473684211</v>
      </c>
      <c r="AC10" s="240">
        <v>2916.3146875000002</v>
      </c>
      <c r="AD10" s="240">
        <v>2882.8380952380953</v>
      </c>
      <c r="AE10" s="240">
        <v>2777.1713815789471</v>
      </c>
      <c r="AF10" s="241">
        <v>2659.3038656136237</v>
      </c>
    </row>
    <row r="11" spans="1:184" thickBot="1" x14ac:dyDescent="0.3">
      <c r="A11" s="144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2"/>
      <c r="AG11" s="242"/>
    </row>
    <row r="12" spans="1:184" ht="15.75" thickBot="1" x14ac:dyDescent="0.3">
      <c r="A12" s="796" t="s">
        <v>4</v>
      </c>
      <c r="B12" s="797"/>
      <c r="C12" s="797"/>
      <c r="D12" s="797"/>
      <c r="E12" s="797"/>
      <c r="F12" s="798"/>
      <c r="H12" s="86"/>
      <c r="I12" s="86"/>
      <c r="J12" s="86"/>
      <c r="K12" s="86"/>
      <c r="L12" s="86"/>
      <c r="M12" s="86"/>
      <c r="N12" s="86"/>
      <c r="W12" s="86"/>
      <c r="X12" s="86"/>
    </row>
    <row r="13" spans="1:184" thickBot="1" x14ac:dyDescent="0.3">
      <c r="A13" s="385"/>
      <c r="B13" s="347" t="s">
        <v>80</v>
      </c>
      <c r="C13" s="348"/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9"/>
      <c r="Y13" s="349"/>
      <c r="Z13" s="349"/>
      <c r="AA13" s="349"/>
      <c r="AB13" s="349"/>
      <c r="AC13" s="349"/>
      <c r="AD13" s="349"/>
      <c r="AE13" s="349"/>
      <c r="AF13" s="350"/>
    </row>
    <row r="14" spans="1:184" ht="15.75" thickBot="1" x14ac:dyDescent="0.3">
      <c r="A14" s="365" t="s">
        <v>81</v>
      </c>
      <c r="B14" s="340">
        <v>1</v>
      </c>
      <c r="C14" s="341">
        <v>2</v>
      </c>
      <c r="D14" s="341">
        <v>3</v>
      </c>
      <c r="E14" s="341">
        <v>4</v>
      </c>
      <c r="F14" s="341">
        <v>5</v>
      </c>
      <c r="G14" s="341">
        <v>6</v>
      </c>
      <c r="H14" s="341">
        <v>7</v>
      </c>
      <c r="I14" s="341">
        <v>8</v>
      </c>
      <c r="J14" s="341">
        <v>9</v>
      </c>
      <c r="K14" s="341">
        <v>10</v>
      </c>
      <c r="L14" s="341">
        <v>11</v>
      </c>
      <c r="M14" s="341">
        <v>12</v>
      </c>
      <c r="N14" s="341">
        <v>13</v>
      </c>
      <c r="O14" s="341">
        <v>14</v>
      </c>
      <c r="P14" s="341">
        <v>15</v>
      </c>
      <c r="Q14" s="341">
        <v>16</v>
      </c>
      <c r="R14" s="341">
        <v>17</v>
      </c>
      <c r="S14" s="341">
        <v>18</v>
      </c>
      <c r="T14" s="341">
        <v>19</v>
      </c>
      <c r="U14" s="341">
        <v>20</v>
      </c>
      <c r="V14" s="341">
        <v>21</v>
      </c>
      <c r="W14" s="341">
        <v>22</v>
      </c>
      <c r="X14" s="341">
        <v>23</v>
      </c>
      <c r="Y14" s="341">
        <v>24</v>
      </c>
      <c r="Z14" s="341">
        <v>25</v>
      </c>
      <c r="AA14" s="341">
        <v>26</v>
      </c>
      <c r="AB14" s="341">
        <v>27</v>
      </c>
      <c r="AC14" s="341">
        <v>28</v>
      </c>
      <c r="AD14" s="341">
        <v>29</v>
      </c>
      <c r="AE14" s="351">
        <v>30</v>
      </c>
      <c r="AF14" s="352" t="s">
        <v>72</v>
      </c>
    </row>
    <row r="15" spans="1:184" ht="14.25" x14ac:dyDescent="0.25">
      <c r="A15" s="344" t="s">
        <v>87</v>
      </c>
      <c r="B15" s="331">
        <v>0</v>
      </c>
      <c r="C15" s="332">
        <v>234</v>
      </c>
      <c r="D15" s="332">
        <v>0</v>
      </c>
      <c r="E15" s="332">
        <v>0</v>
      </c>
      <c r="F15" s="332">
        <v>0</v>
      </c>
      <c r="G15" s="332">
        <v>195</v>
      </c>
      <c r="H15" s="332">
        <v>195</v>
      </c>
      <c r="I15" s="332">
        <v>481</v>
      </c>
      <c r="J15" s="332">
        <v>559</v>
      </c>
      <c r="K15" s="332">
        <v>260</v>
      </c>
      <c r="L15" s="332">
        <v>234</v>
      </c>
      <c r="M15" s="332">
        <v>0</v>
      </c>
      <c r="N15" s="332">
        <v>455</v>
      </c>
      <c r="O15" s="332">
        <v>260</v>
      </c>
      <c r="P15" s="332">
        <v>260</v>
      </c>
      <c r="Q15" s="332">
        <v>416</v>
      </c>
      <c r="R15" s="332">
        <v>728</v>
      </c>
      <c r="S15" s="332">
        <v>591.5</v>
      </c>
      <c r="T15" s="332">
        <v>0</v>
      </c>
      <c r="U15" s="332">
        <v>97.5</v>
      </c>
      <c r="V15" s="332">
        <v>364</v>
      </c>
      <c r="W15" s="332">
        <v>403</v>
      </c>
      <c r="X15" s="332">
        <v>416</v>
      </c>
      <c r="Y15" s="332">
        <v>403</v>
      </c>
      <c r="Z15" s="332">
        <v>390</v>
      </c>
      <c r="AA15" s="332">
        <v>299</v>
      </c>
      <c r="AB15" s="332">
        <v>624</v>
      </c>
      <c r="AC15" s="332">
        <v>676</v>
      </c>
      <c r="AD15" s="332">
        <v>338</v>
      </c>
      <c r="AE15" s="332">
        <v>442</v>
      </c>
      <c r="AF15" s="333">
        <v>9321</v>
      </c>
    </row>
    <row r="16" spans="1:184" ht="14.25" x14ac:dyDescent="0.25">
      <c r="A16" s="345" t="s">
        <v>88</v>
      </c>
      <c r="B16" s="342">
        <v>0</v>
      </c>
      <c r="C16" s="85">
        <v>159</v>
      </c>
      <c r="D16" s="85">
        <v>0</v>
      </c>
      <c r="E16" s="85">
        <v>0</v>
      </c>
      <c r="F16" s="85">
        <v>0</v>
      </c>
      <c r="G16" s="85">
        <v>569.75</v>
      </c>
      <c r="H16" s="85">
        <v>556.5</v>
      </c>
      <c r="I16" s="85">
        <v>450.5</v>
      </c>
      <c r="J16" s="85">
        <v>278.25</v>
      </c>
      <c r="K16" s="85">
        <v>556.5</v>
      </c>
      <c r="L16" s="85">
        <v>490.25</v>
      </c>
      <c r="M16" s="85">
        <v>0</v>
      </c>
      <c r="N16" s="85">
        <v>397.5</v>
      </c>
      <c r="O16" s="85">
        <v>755.25</v>
      </c>
      <c r="P16" s="85">
        <v>463.75</v>
      </c>
      <c r="Q16" s="85">
        <v>675.75</v>
      </c>
      <c r="R16" s="85">
        <v>715.5</v>
      </c>
      <c r="S16" s="85">
        <v>662.5</v>
      </c>
      <c r="T16" s="85">
        <v>0</v>
      </c>
      <c r="U16" s="85">
        <v>569.75</v>
      </c>
      <c r="V16" s="85">
        <v>503.5</v>
      </c>
      <c r="W16" s="85">
        <v>861.25</v>
      </c>
      <c r="X16" s="85">
        <v>477</v>
      </c>
      <c r="Y16" s="85">
        <v>410.75</v>
      </c>
      <c r="Z16" s="85">
        <v>543.25</v>
      </c>
      <c r="AA16" s="85">
        <v>132.5</v>
      </c>
      <c r="AB16" s="85">
        <v>583</v>
      </c>
      <c r="AC16" s="85">
        <v>808.25</v>
      </c>
      <c r="AD16" s="85">
        <v>702.25</v>
      </c>
      <c r="AE16" s="85">
        <v>702.25</v>
      </c>
      <c r="AF16" s="343">
        <v>13024.75</v>
      </c>
    </row>
    <row r="17" spans="1:33" ht="14.25" x14ac:dyDescent="0.25">
      <c r="A17" s="345" t="s">
        <v>89</v>
      </c>
      <c r="B17" s="342">
        <v>0</v>
      </c>
      <c r="C17" s="85">
        <v>112.5</v>
      </c>
      <c r="D17" s="85">
        <v>0</v>
      </c>
      <c r="E17" s="85">
        <v>0</v>
      </c>
      <c r="F17" s="85">
        <v>0</v>
      </c>
      <c r="G17" s="85">
        <v>87.5</v>
      </c>
      <c r="H17" s="85">
        <v>150</v>
      </c>
      <c r="I17" s="85">
        <v>125</v>
      </c>
      <c r="J17" s="85">
        <v>87.5</v>
      </c>
      <c r="K17" s="85">
        <v>175</v>
      </c>
      <c r="L17" s="85">
        <v>237.5</v>
      </c>
      <c r="M17" s="85">
        <v>0</v>
      </c>
      <c r="N17" s="85">
        <v>187.5</v>
      </c>
      <c r="O17" s="85">
        <v>150</v>
      </c>
      <c r="P17" s="85">
        <v>225</v>
      </c>
      <c r="Q17" s="85">
        <v>250</v>
      </c>
      <c r="R17" s="85">
        <v>312.5</v>
      </c>
      <c r="S17" s="85">
        <v>381.25</v>
      </c>
      <c r="T17" s="85">
        <v>0</v>
      </c>
      <c r="U17" s="85">
        <v>218.75</v>
      </c>
      <c r="V17" s="85">
        <v>237.5</v>
      </c>
      <c r="W17" s="85">
        <v>362.5</v>
      </c>
      <c r="X17" s="85">
        <v>187.5</v>
      </c>
      <c r="Y17" s="85">
        <v>187.5</v>
      </c>
      <c r="Z17" s="85">
        <v>175</v>
      </c>
      <c r="AA17" s="85">
        <v>37.5</v>
      </c>
      <c r="AB17" s="85">
        <v>175</v>
      </c>
      <c r="AC17" s="85">
        <v>225</v>
      </c>
      <c r="AD17" s="85">
        <v>312.5</v>
      </c>
      <c r="AE17" s="85">
        <v>200</v>
      </c>
      <c r="AF17" s="343">
        <v>4800</v>
      </c>
    </row>
    <row r="18" spans="1:33" ht="14.25" x14ac:dyDescent="0.25">
      <c r="A18" s="345" t="s">
        <v>90</v>
      </c>
      <c r="B18" s="342">
        <v>0</v>
      </c>
      <c r="C18" s="85">
        <v>10</v>
      </c>
      <c r="D18" s="85">
        <v>0</v>
      </c>
      <c r="E18" s="85">
        <v>0</v>
      </c>
      <c r="F18" s="85">
        <v>0</v>
      </c>
      <c r="G18" s="85">
        <v>5</v>
      </c>
      <c r="H18" s="85">
        <v>5</v>
      </c>
      <c r="I18" s="85">
        <v>5</v>
      </c>
      <c r="J18" s="85">
        <v>10</v>
      </c>
      <c r="K18" s="85">
        <v>10</v>
      </c>
      <c r="L18" s="85">
        <v>0</v>
      </c>
      <c r="M18" s="85">
        <v>0</v>
      </c>
      <c r="N18" s="85">
        <v>5</v>
      </c>
      <c r="O18" s="85">
        <v>15</v>
      </c>
      <c r="P18" s="85">
        <v>5</v>
      </c>
      <c r="Q18" s="85">
        <v>10</v>
      </c>
      <c r="R18" s="85">
        <v>5</v>
      </c>
      <c r="S18" s="85">
        <v>5</v>
      </c>
      <c r="T18" s="85">
        <v>0</v>
      </c>
      <c r="U18" s="85">
        <v>5</v>
      </c>
      <c r="V18" s="85">
        <v>10</v>
      </c>
      <c r="W18" s="85">
        <v>10</v>
      </c>
      <c r="X18" s="85">
        <v>10</v>
      </c>
      <c r="Y18" s="85">
        <v>5</v>
      </c>
      <c r="Z18" s="85">
        <v>5</v>
      </c>
      <c r="AA18" s="85">
        <v>5</v>
      </c>
      <c r="AB18" s="85">
        <v>15</v>
      </c>
      <c r="AC18" s="85">
        <v>10</v>
      </c>
      <c r="AD18" s="85">
        <v>15</v>
      </c>
      <c r="AE18" s="85">
        <v>15</v>
      </c>
      <c r="AF18" s="343">
        <v>195</v>
      </c>
    </row>
    <row r="19" spans="1:33" thickBot="1" x14ac:dyDescent="0.3">
      <c r="A19" s="346" t="s">
        <v>91</v>
      </c>
      <c r="B19" s="342">
        <v>0</v>
      </c>
      <c r="C19" s="85">
        <v>10</v>
      </c>
      <c r="D19" s="85">
        <v>0</v>
      </c>
      <c r="E19" s="85">
        <v>0</v>
      </c>
      <c r="F19" s="85">
        <v>0</v>
      </c>
      <c r="G19" s="85">
        <v>15</v>
      </c>
      <c r="H19" s="85">
        <v>10</v>
      </c>
      <c r="I19" s="85">
        <v>10</v>
      </c>
      <c r="J19" s="85">
        <v>15</v>
      </c>
      <c r="K19" s="85">
        <v>15</v>
      </c>
      <c r="L19" s="85">
        <v>10</v>
      </c>
      <c r="M19" s="85">
        <v>0</v>
      </c>
      <c r="N19" s="85">
        <v>20</v>
      </c>
      <c r="O19" s="85">
        <v>20</v>
      </c>
      <c r="P19" s="85">
        <v>20</v>
      </c>
      <c r="Q19" s="85">
        <v>10</v>
      </c>
      <c r="R19" s="85">
        <v>15</v>
      </c>
      <c r="S19" s="85">
        <v>15</v>
      </c>
      <c r="T19" s="85">
        <v>15</v>
      </c>
      <c r="U19" s="85">
        <v>15</v>
      </c>
      <c r="V19" s="85">
        <v>15</v>
      </c>
      <c r="W19" s="85">
        <v>15</v>
      </c>
      <c r="X19" s="85">
        <v>20</v>
      </c>
      <c r="Y19" s="85">
        <v>5</v>
      </c>
      <c r="Z19" s="85">
        <v>15</v>
      </c>
      <c r="AA19" s="85">
        <v>10</v>
      </c>
      <c r="AB19" s="85">
        <v>20</v>
      </c>
      <c r="AC19" s="85">
        <v>10</v>
      </c>
      <c r="AD19" s="85">
        <v>15</v>
      </c>
      <c r="AE19" s="85">
        <v>15</v>
      </c>
      <c r="AF19" s="343">
        <v>355</v>
      </c>
    </row>
    <row r="20" spans="1:33" ht="14.25" x14ac:dyDescent="0.25">
      <c r="A20" s="248" t="s">
        <v>226</v>
      </c>
      <c r="B20" s="342">
        <v>0</v>
      </c>
      <c r="C20" s="85">
        <v>880</v>
      </c>
      <c r="D20" s="85">
        <v>0</v>
      </c>
      <c r="E20" s="85">
        <v>0</v>
      </c>
      <c r="F20" s="85">
        <v>0</v>
      </c>
      <c r="G20" s="85">
        <v>1040</v>
      </c>
      <c r="H20" s="85">
        <v>1079</v>
      </c>
      <c r="I20" s="85">
        <v>1200</v>
      </c>
      <c r="J20" s="85">
        <v>1280</v>
      </c>
      <c r="K20" s="85">
        <v>1520</v>
      </c>
      <c r="L20" s="85">
        <v>1040</v>
      </c>
      <c r="M20" s="85">
        <v>0</v>
      </c>
      <c r="N20" s="85">
        <v>1360</v>
      </c>
      <c r="O20" s="85">
        <v>1280</v>
      </c>
      <c r="P20" s="85">
        <v>1200</v>
      </c>
      <c r="Q20" s="85">
        <v>1600</v>
      </c>
      <c r="R20" s="85">
        <v>1440</v>
      </c>
      <c r="S20" s="85">
        <v>1680</v>
      </c>
      <c r="T20" s="85">
        <v>0</v>
      </c>
      <c r="U20" s="85">
        <v>1600</v>
      </c>
      <c r="V20" s="85">
        <v>1360</v>
      </c>
      <c r="W20" s="85">
        <v>1520</v>
      </c>
      <c r="X20" s="85">
        <v>1495</v>
      </c>
      <c r="Y20" s="85">
        <v>1360</v>
      </c>
      <c r="Z20" s="85">
        <v>1360</v>
      </c>
      <c r="AA20" s="85">
        <v>800</v>
      </c>
      <c r="AB20" s="85">
        <v>1520</v>
      </c>
      <c r="AC20" s="85">
        <v>1600</v>
      </c>
      <c r="AD20" s="85">
        <v>1680</v>
      </c>
      <c r="AE20" s="85">
        <v>1520</v>
      </c>
      <c r="AF20" s="343">
        <v>32414</v>
      </c>
    </row>
    <row r="21" spans="1:33" thickBot="1" x14ac:dyDescent="0.3">
      <c r="A21" s="249" t="s">
        <v>227</v>
      </c>
      <c r="B21" s="245" t="e">
        <v>#DIV/0!</v>
      </c>
      <c r="C21" s="246">
        <v>2001.6698863636364</v>
      </c>
      <c r="D21" s="246" t="e">
        <v>#DIV/0!</v>
      </c>
      <c r="E21" s="246" t="e">
        <v>#DIV/0!</v>
      </c>
      <c r="F21" s="246" t="e">
        <v>#DIV/0!</v>
      </c>
      <c r="G21" s="246">
        <v>2638.6711538461536</v>
      </c>
      <c r="H21" s="246">
        <v>2771.1464318813714</v>
      </c>
      <c r="I21" s="246">
        <v>2309.4699999999998</v>
      </c>
      <c r="J21" s="246">
        <v>1812.61015625</v>
      </c>
      <c r="K21" s="246">
        <v>2241.3763157894737</v>
      </c>
      <c r="L21" s="246">
        <v>3164.7182692307692</v>
      </c>
      <c r="M21" s="246" t="e">
        <v>#DIV/0!</v>
      </c>
      <c r="N21" s="246">
        <v>2363.5055147058824</v>
      </c>
      <c r="O21" s="246">
        <v>3136.7925781250001</v>
      </c>
      <c r="P21" s="246">
        <v>2896.0604166666667</v>
      </c>
      <c r="Q21" s="246">
        <v>2646.4334374999999</v>
      </c>
      <c r="R21" s="246">
        <v>3481.7406249999999</v>
      </c>
      <c r="S21" s="246">
        <v>3085.6183035714284</v>
      </c>
      <c r="T21" s="246" t="e">
        <v>#DIV/0!</v>
      </c>
      <c r="U21" s="246">
        <v>2180.94484375</v>
      </c>
      <c r="V21" s="246">
        <v>2748.0113970588236</v>
      </c>
      <c r="W21" s="246">
        <v>3660.9736842105262</v>
      </c>
      <c r="X21" s="246">
        <v>2341.9923076923078</v>
      </c>
      <c r="Y21" s="246">
        <v>2116.0264705882355</v>
      </c>
      <c r="Z21" s="246">
        <v>2486.9143382352941</v>
      </c>
      <c r="AA21" s="246">
        <v>1466.7093749999999</v>
      </c>
      <c r="AB21" s="246">
        <v>2624.4664473684211</v>
      </c>
      <c r="AC21" s="246">
        <v>2916.3146875000002</v>
      </c>
      <c r="AD21" s="246">
        <v>2882.8380952380953</v>
      </c>
      <c r="AE21" s="246">
        <v>2777.1713815789471</v>
      </c>
      <c r="AF21" s="247">
        <v>2659.3038656136237</v>
      </c>
    </row>
    <row r="22" spans="1:33" ht="14.25" x14ac:dyDescent="0.25">
      <c r="A22" s="243"/>
      <c r="G22" s="85"/>
      <c r="N22" s="85"/>
      <c r="O22" s="85"/>
      <c r="P22" s="85"/>
      <c r="Q22" s="85"/>
      <c r="R22" s="85"/>
      <c r="S22" s="85"/>
      <c r="T22" s="85"/>
      <c r="U22" s="85"/>
      <c r="V22" s="85"/>
      <c r="Y22" s="85"/>
      <c r="Z22" s="85"/>
      <c r="AA22" s="85"/>
      <c r="AB22" s="85"/>
      <c r="AC22" s="85"/>
      <c r="AD22" s="85"/>
      <c r="AE22" s="85"/>
      <c r="AF22" s="85"/>
      <c r="AG22" s="85"/>
    </row>
    <row r="23" spans="1:33" thickBo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U23" s="86"/>
      <c r="W23" s="86"/>
      <c r="X23" s="86"/>
    </row>
    <row r="24" spans="1:33" ht="15.75" thickBot="1" x14ac:dyDescent="0.3">
      <c r="A24" s="790" t="s">
        <v>16</v>
      </c>
      <c r="B24" s="791"/>
      <c r="C24" s="791"/>
      <c r="D24" s="791"/>
      <c r="E24" s="791"/>
      <c r="F24" s="792"/>
      <c r="H24" s="86"/>
      <c r="I24" s="86"/>
      <c r="J24" s="86"/>
      <c r="K24" s="86"/>
      <c r="L24" s="86"/>
      <c r="M24" s="86"/>
      <c r="W24" s="86"/>
      <c r="X24" s="86"/>
    </row>
    <row r="25" spans="1:33" ht="15.75" thickBot="1" x14ac:dyDescent="0.3">
      <c r="A25" s="669"/>
      <c r="B25" s="371" t="s">
        <v>80</v>
      </c>
      <c r="C25" s="372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6"/>
      <c r="Q25" s="366"/>
      <c r="R25" s="366"/>
      <c r="S25" s="366"/>
      <c r="T25" s="366"/>
      <c r="U25" s="366"/>
      <c r="V25" s="366"/>
      <c r="W25" s="366"/>
      <c r="X25" s="366"/>
      <c r="Y25" s="366"/>
      <c r="Z25" s="366"/>
      <c r="AA25" s="366"/>
      <c r="AB25" s="366"/>
      <c r="AC25" s="366"/>
      <c r="AD25" s="366"/>
      <c r="AE25" s="367"/>
    </row>
    <row r="26" spans="1:33" ht="15.75" thickBot="1" x14ac:dyDescent="0.3">
      <c r="A26" s="376" t="s">
        <v>81</v>
      </c>
      <c r="B26" s="373">
        <v>1</v>
      </c>
      <c r="C26" s="374">
        <v>2</v>
      </c>
      <c r="D26" s="374">
        <v>3</v>
      </c>
      <c r="E26" s="374">
        <v>4</v>
      </c>
      <c r="F26" s="374">
        <v>5</v>
      </c>
      <c r="G26" s="374">
        <v>6</v>
      </c>
      <c r="H26" s="374">
        <v>7</v>
      </c>
      <c r="I26" s="374">
        <v>8</v>
      </c>
      <c r="J26" s="374">
        <v>9</v>
      </c>
      <c r="K26" s="374">
        <v>10</v>
      </c>
      <c r="L26" s="374">
        <v>11</v>
      </c>
      <c r="M26" s="374">
        <v>12</v>
      </c>
      <c r="N26" s="374">
        <v>13</v>
      </c>
      <c r="O26" s="374">
        <v>14</v>
      </c>
      <c r="P26" s="374">
        <v>15</v>
      </c>
      <c r="Q26" s="374">
        <v>16</v>
      </c>
      <c r="R26" s="374">
        <v>17</v>
      </c>
      <c r="S26" s="374">
        <v>18</v>
      </c>
      <c r="T26" s="374">
        <v>19</v>
      </c>
      <c r="U26" s="374">
        <v>20</v>
      </c>
      <c r="V26" s="374">
        <v>21</v>
      </c>
      <c r="W26" s="374">
        <v>22</v>
      </c>
      <c r="X26" s="374">
        <v>23</v>
      </c>
      <c r="Y26" s="374">
        <v>24</v>
      </c>
      <c r="Z26" s="374">
        <v>25</v>
      </c>
      <c r="AA26" s="374">
        <v>26</v>
      </c>
      <c r="AB26" s="374">
        <v>27</v>
      </c>
      <c r="AC26" s="374">
        <v>28</v>
      </c>
      <c r="AD26" s="374">
        <v>29</v>
      </c>
      <c r="AE26" s="375">
        <v>30</v>
      </c>
    </row>
    <row r="27" spans="1:33" x14ac:dyDescent="0.25">
      <c r="A27" s="368" t="s">
        <v>92</v>
      </c>
      <c r="B27" s="93" t="e">
        <v>#DIV/0!</v>
      </c>
      <c r="C27" s="336">
        <v>204.54545454545453</v>
      </c>
      <c r="D27" s="336" t="e">
        <v>#DIV/0!</v>
      </c>
      <c r="E27" s="336" t="e">
        <v>#DIV/0!</v>
      </c>
      <c r="F27" s="336" t="e">
        <v>#DIV/0!</v>
      </c>
      <c r="G27" s="336">
        <v>144.23076923076923</v>
      </c>
      <c r="H27" s="336">
        <v>139.01760889712696</v>
      </c>
      <c r="I27" s="336">
        <v>308.33333333333331</v>
      </c>
      <c r="J27" s="336">
        <v>335.9375</v>
      </c>
      <c r="K27" s="336">
        <v>131.57894736842104</v>
      </c>
      <c r="L27" s="336">
        <v>173.07692307692307</v>
      </c>
      <c r="M27" s="336" t="e">
        <v>#DIV/0!</v>
      </c>
      <c r="N27" s="336">
        <v>257.35294117647061</v>
      </c>
      <c r="O27" s="336">
        <v>156.25</v>
      </c>
      <c r="P27" s="336">
        <v>166.66666666666666</v>
      </c>
      <c r="Q27" s="336">
        <v>200</v>
      </c>
      <c r="R27" s="336">
        <v>388.88888888888891</v>
      </c>
      <c r="S27" s="336">
        <v>270.83333333333331</v>
      </c>
      <c r="T27" s="336" t="e">
        <v>#DIV/0!</v>
      </c>
      <c r="U27" s="336">
        <v>46.875</v>
      </c>
      <c r="V27" s="336">
        <v>205.88235294117646</v>
      </c>
      <c r="W27" s="336">
        <v>203.94736842105263</v>
      </c>
      <c r="X27" s="336">
        <v>214.04682274247492</v>
      </c>
      <c r="Y27" s="336">
        <v>227.94117647058823</v>
      </c>
      <c r="Z27" s="336">
        <v>220.58823529411765</v>
      </c>
      <c r="AA27" s="336">
        <v>287.5</v>
      </c>
      <c r="AB27" s="336">
        <v>315.78947368421052</v>
      </c>
      <c r="AC27" s="336">
        <v>325</v>
      </c>
      <c r="AD27" s="336">
        <v>154.76190476190476</v>
      </c>
      <c r="AE27" s="337">
        <v>223.68421052631578</v>
      </c>
    </row>
    <row r="28" spans="1:33" x14ac:dyDescent="0.25">
      <c r="A28" s="369" t="s">
        <v>93</v>
      </c>
      <c r="B28" s="95" t="e">
        <v>#DIV/0!</v>
      </c>
      <c r="C28" s="89">
        <v>136.36363636363637</v>
      </c>
      <c r="D28" s="89" t="e">
        <v>#DIV/0!</v>
      </c>
      <c r="E28" s="89" t="e">
        <v>#DIV/0!</v>
      </c>
      <c r="F28" s="89" t="e">
        <v>#DIV/0!</v>
      </c>
      <c r="G28" s="89">
        <v>413.46153846153845</v>
      </c>
      <c r="H28" s="89">
        <v>389.24930491195551</v>
      </c>
      <c r="I28" s="89">
        <v>283.33333333333331</v>
      </c>
      <c r="J28" s="89">
        <v>164.0625</v>
      </c>
      <c r="K28" s="89">
        <v>276.31578947368422</v>
      </c>
      <c r="L28" s="89">
        <v>355.76923076923077</v>
      </c>
      <c r="M28" s="89" t="e">
        <v>#DIV/0!</v>
      </c>
      <c r="N28" s="89">
        <v>220.58823529411765</v>
      </c>
      <c r="O28" s="89">
        <v>445.3125</v>
      </c>
      <c r="P28" s="89">
        <v>291.66666666666669</v>
      </c>
      <c r="Q28" s="89">
        <v>318.75</v>
      </c>
      <c r="R28" s="89">
        <v>375</v>
      </c>
      <c r="S28" s="89">
        <v>297.61904761904759</v>
      </c>
      <c r="T28" s="89" t="e">
        <v>#DIV/0!</v>
      </c>
      <c r="U28" s="89">
        <v>268.75</v>
      </c>
      <c r="V28" s="89">
        <v>279.41176470588238</v>
      </c>
      <c r="W28" s="89">
        <v>427.63157894736844</v>
      </c>
      <c r="X28" s="89">
        <v>240.80267558528428</v>
      </c>
      <c r="Y28" s="89">
        <v>227.94117647058823</v>
      </c>
      <c r="Z28" s="89">
        <v>301.47058823529414</v>
      </c>
      <c r="AA28" s="89">
        <v>125</v>
      </c>
      <c r="AB28" s="89">
        <v>289.4736842105263</v>
      </c>
      <c r="AC28" s="89">
        <v>381.25</v>
      </c>
      <c r="AD28" s="89">
        <v>315.47619047619048</v>
      </c>
      <c r="AE28" s="94">
        <v>348.68421052631578</v>
      </c>
    </row>
    <row r="29" spans="1:33" x14ac:dyDescent="0.25">
      <c r="A29" s="369" t="s">
        <v>94</v>
      </c>
      <c r="B29" s="95" t="e">
        <v>#DIV/0!</v>
      </c>
      <c r="C29" s="89">
        <v>102.27272727272727</v>
      </c>
      <c r="D29" s="89" t="e">
        <v>#DIV/0!</v>
      </c>
      <c r="E29" s="89" t="e">
        <v>#DIV/0!</v>
      </c>
      <c r="F29" s="89" t="e">
        <v>#DIV/0!</v>
      </c>
      <c r="G29" s="89">
        <v>67.307692307692307</v>
      </c>
      <c r="H29" s="89">
        <v>111.21408711770158</v>
      </c>
      <c r="I29" s="89">
        <v>83.333333333333329</v>
      </c>
      <c r="J29" s="89">
        <v>54.6875</v>
      </c>
      <c r="K29" s="89">
        <v>92.10526315789474</v>
      </c>
      <c r="L29" s="89">
        <v>182.69230769230768</v>
      </c>
      <c r="M29" s="89" t="e">
        <v>#DIV/0!</v>
      </c>
      <c r="N29" s="89">
        <v>110.29411764705883</v>
      </c>
      <c r="O29" s="89">
        <v>93.75</v>
      </c>
      <c r="P29" s="89">
        <v>150</v>
      </c>
      <c r="Q29" s="89">
        <v>125</v>
      </c>
      <c r="R29" s="89">
        <v>173.61111111111111</v>
      </c>
      <c r="S29" s="89">
        <v>181.54761904761904</v>
      </c>
      <c r="T29" s="89" t="e">
        <v>#DIV/0!</v>
      </c>
      <c r="U29" s="89">
        <v>109.375</v>
      </c>
      <c r="V29" s="89">
        <v>139.70588235294119</v>
      </c>
      <c r="W29" s="89">
        <v>190.78947368421052</v>
      </c>
      <c r="X29" s="89">
        <v>100.33444816053512</v>
      </c>
      <c r="Y29" s="89">
        <v>110.29411764705883</v>
      </c>
      <c r="Z29" s="89">
        <v>102.94117647058823</v>
      </c>
      <c r="AA29" s="89">
        <v>37.5</v>
      </c>
      <c r="AB29" s="89">
        <v>92.10526315789474</v>
      </c>
      <c r="AC29" s="89">
        <v>112.5</v>
      </c>
      <c r="AD29" s="89">
        <v>148.8095238095238</v>
      </c>
      <c r="AE29" s="94">
        <v>105.26315789473684</v>
      </c>
    </row>
    <row r="30" spans="1:33" x14ac:dyDescent="0.25">
      <c r="A30" s="369" t="s">
        <v>228</v>
      </c>
      <c r="B30" s="95" t="e">
        <v>#DIV/0!</v>
      </c>
      <c r="C30" s="89">
        <v>2.8409090909090908</v>
      </c>
      <c r="D30" s="89" t="e">
        <v>#DIV/0!</v>
      </c>
      <c r="E30" s="89" t="e">
        <v>#DIV/0!</v>
      </c>
      <c r="F30" s="89" t="e">
        <v>#DIV/0!</v>
      </c>
      <c r="G30" s="89">
        <v>1.2019230769230769</v>
      </c>
      <c r="H30" s="89">
        <v>1.1584800741427248</v>
      </c>
      <c r="I30" s="89">
        <v>1.0416666666666667</v>
      </c>
      <c r="J30" s="89">
        <v>1.953125</v>
      </c>
      <c r="K30" s="89">
        <v>1.6447368421052631</v>
      </c>
      <c r="L30" s="89">
        <v>0</v>
      </c>
      <c r="M30" s="89" t="e">
        <v>#DIV/0!</v>
      </c>
      <c r="N30" s="89">
        <v>0.91911764705882348</v>
      </c>
      <c r="O30" s="89">
        <v>2.9296875</v>
      </c>
      <c r="P30" s="89">
        <v>1.0416666666666667</v>
      </c>
      <c r="Q30" s="89">
        <v>1.5625</v>
      </c>
      <c r="R30" s="89">
        <v>0.86805555555555558</v>
      </c>
      <c r="S30" s="89">
        <v>0.74404761904761907</v>
      </c>
      <c r="T30" s="89" t="e">
        <v>#DIV/0!</v>
      </c>
      <c r="U30" s="89">
        <v>0.78125</v>
      </c>
      <c r="V30" s="89">
        <v>1.838235294117647</v>
      </c>
      <c r="W30" s="89">
        <v>1.6447368421052631</v>
      </c>
      <c r="X30" s="89">
        <v>1.6722408026755853</v>
      </c>
      <c r="Y30" s="89">
        <v>0.91911764705882348</v>
      </c>
      <c r="Z30" s="89">
        <v>0.91911764705882348</v>
      </c>
      <c r="AA30" s="89">
        <v>1.5625</v>
      </c>
      <c r="AB30" s="89">
        <v>2.4671052631578947</v>
      </c>
      <c r="AC30" s="89">
        <v>1.5625</v>
      </c>
      <c r="AD30" s="89">
        <v>2.2321428571428572</v>
      </c>
      <c r="AE30" s="94">
        <v>2.4671052631578947</v>
      </c>
    </row>
    <row r="31" spans="1:33" ht="15.75" thickBot="1" x14ac:dyDescent="0.3">
      <c r="A31" s="370" t="s">
        <v>96</v>
      </c>
      <c r="B31" s="95" t="e">
        <v>#DIV/0!</v>
      </c>
      <c r="C31" s="89">
        <v>2.8409090909090908</v>
      </c>
      <c r="D31" s="89" t="e">
        <v>#DIV/0!</v>
      </c>
      <c r="E31" s="89" t="e">
        <v>#DIV/0!</v>
      </c>
      <c r="F31" s="89" t="e">
        <v>#DIV/0!</v>
      </c>
      <c r="G31" s="89">
        <v>3.6057692307692308</v>
      </c>
      <c r="H31" s="89">
        <v>2.3169601482854496</v>
      </c>
      <c r="I31" s="89">
        <v>2.0833333333333335</v>
      </c>
      <c r="J31" s="89">
        <v>2.9296875</v>
      </c>
      <c r="K31" s="89">
        <v>2.4671052631578947</v>
      </c>
      <c r="L31" s="89">
        <v>2.4038461538461537</v>
      </c>
      <c r="M31" s="89" t="e">
        <v>#DIV/0!</v>
      </c>
      <c r="N31" s="89">
        <v>3.6764705882352939</v>
      </c>
      <c r="O31" s="89">
        <v>3.90625</v>
      </c>
      <c r="P31" s="89">
        <v>4.166666666666667</v>
      </c>
      <c r="Q31" s="89">
        <v>1.5625</v>
      </c>
      <c r="R31" s="89">
        <v>2.6041666666666665</v>
      </c>
      <c r="S31" s="89">
        <v>2.2321428571428572</v>
      </c>
      <c r="T31" s="89" t="e">
        <v>#DIV/0!</v>
      </c>
      <c r="U31" s="89">
        <v>2.34375</v>
      </c>
      <c r="V31" s="89">
        <v>2.7573529411764706</v>
      </c>
      <c r="W31" s="89">
        <v>2.4671052631578947</v>
      </c>
      <c r="X31" s="89">
        <v>3.3444816053511706</v>
      </c>
      <c r="Y31" s="89">
        <v>0.91911764705882348</v>
      </c>
      <c r="Z31" s="89">
        <v>2.7573529411764706</v>
      </c>
      <c r="AA31" s="89">
        <v>3.125</v>
      </c>
      <c r="AB31" s="89">
        <v>3.2894736842105261</v>
      </c>
      <c r="AC31" s="89">
        <v>1.5625</v>
      </c>
      <c r="AD31" s="89">
        <v>2.2321428571428572</v>
      </c>
      <c r="AE31" s="94">
        <v>2.4671052631578947</v>
      </c>
    </row>
    <row r="32" spans="1:33" x14ac:dyDescent="0.25">
      <c r="A32" s="183" t="s">
        <v>226</v>
      </c>
      <c r="B32" s="95">
        <v>0</v>
      </c>
      <c r="C32" s="89">
        <v>880</v>
      </c>
      <c r="D32" s="89">
        <v>0</v>
      </c>
      <c r="E32" s="89">
        <v>0</v>
      </c>
      <c r="F32" s="89">
        <v>0</v>
      </c>
      <c r="G32" s="89">
        <v>1040</v>
      </c>
      <c r="H32" s="89">
        <v>1079</v>
      </c>
      <c r="I32" s="89">
        <v>1200</v>
      </c>
      <c r="J32" s="89">
        <v>1280</v>
      </c>
      <c r="K32" s="89">
        <v>1520</v>
      </c>
      <c r="L32" s="89">
        <v>1040</v>
      </c>
      <c r="M32" s="89">
        <v>0</v>
      </c>
      <c r="N32" s="89">
        <v>1360</v>
      </c>
      <c r="O32" s="89">
        <v>1280</v>
      </c>
      <c r="P32" s="89">
        <v>1200</v>
      </c>
      <c r="Q32" s="89">
        <v>1600</v>
      </c>
      <c r="R32" s="89">
        <v>1440</v>
      </c>
      <c r="S32" s="89">
        <v>1680</v>
      </c>
      <c r="T32" s="89">
        <v>0</v>
      </c>
      <c r="U32" s="89">
        <v>1600</v>
      </c>
      <c r="V32" s="89">
        <v>1360</v>
      </c>
      <c r="W32" s="89">
        <v>1520</v>
      </c>
      <c r="X32" s="89">
        <v>1495</v>
      </c>
      <c r="Y32" s="89">
        <v>1360</v>
      </c>
      <c r="Z32" s="89">
        <v>1360</v>
      </c>
      <c r="AA32" s="89">
        <v>800</v>
      </c>
      <c r="AB32" s="89">
        <v>1520</v>
      </c>
      <c r="AC32" s="89">
        <v>1600</v>
      </c>
      <c r="AD32" s="89">
        <v>1680</v>
      </c>
      <c r="AE32" s="94">
        <v>1520</v>
      </c>
    </row>
    <row r="33" spans="1:32" ht="15.75" thickBot="1" x14ac:dyDescent="0.3">
      <c r="A33" s="183" t="s">
        <v>227</v>
      </c>
      <c r="B33" s="250" t="e">
        <v>#DIV/0!</v>
      </c>
      <c r="C33" s="251">
        <v>2001.6698863636364</v>
      </c>
      <c r="D33" s="251" t="e">
        <v>#DIV/0!</v>
      </c>
      <c r="E33" s="251" t="e">
        <v>#DIV/0!</v>
      </c>
      <c r="F33" s="251" t="e">
        <v>#DIV/0!</v>
      </c>
      <c r="G33" s="251">
        <v>2638.6711538461536</v>
      </c>
      <c r="H33" s="251">
        <v>2771.1464318813714</v>
      </c>
      <c r="I33" s="251">
        <v>2309.4699999999998</v>
      </c>
      <c r="J33" s="251">
        <v>1812.61015625</v>
      </c>
      <c r="K33" s="251">
        <v>2241.3763157894737</v>
      </c>
      <c r="L33" s="251">
        <v>3164.7182692307692</v>
      </c>
      <c r="M33" s="251" t="e">
        <v>#DIV/0!</v>
      </c>
      <c r="N33" s="251">
        <v>2363.5055147058824</v>
      </c>
      <c r="O33" s="251">
        <v>3136.7925781250001</v>
      </c>
      <c r="P33" s="251">
        <v>2896.0604166666667</v>
      </c>
      <c r="Q33" s="251">
        <v>2646.4334374999999</v>
      </c>
      <c r="R33" s="251">
        <v>3481.7406249999999</v>
      </c>
      <c r="S33" s="251">
        <v>3085.6183035714284</v>
      </c>
      <c r="T33" s="251" t="e">
        <v>#DIV/0!</v>
      </c>
      <c r="U33" s="251">
        <v>2180.94484375</v>
      </c>
      <c r="V33" s="251">
        <v>2748.0113970588236</v>
      </c>
      <c r="W33" s="251">
        <v>3660.9736842105262</v>
      </c>
      <c r="X33" s="251">
        <v>2341.9923076923078</v>
      </c>
      <c r="Y33" s="251">
        <v>2116.0264705882355</v>
      </c>
      <c r="Z33" s="251">
        <v>2486.9143382352941</v>
      </c>
      <c r="AA33" s="251">
        <v>1466.7093749999999</v>
      </c>
      <c r="AB33" s="251">
        <v>2624.4664473684211</v>
      </c>
      <c r="AC33" s="251">
        <v>2916.3146875000002</v>
      </c>
      <c r="AD33" s="251">
        <v>2882.8380952380953</v>
      </c>
      <c r="AE33" s="252">
        <v>2777.1713815789471</v>
      </c>
    </row>
    <row r="34" spans="1:32" ht="15.75" thickBo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U34" s="86"/>
      <c r="W34" s="86"/>
      <c r="X34" s="86"/>
    </row>
    <row r="35" spans="1:32" ht="15.75" thickBot="1" x14ac:dyDescent="0.3">
      <c r="A35" s="438"/>
      <c r="B35" s="339" t="s">
        <v>80</v>
      </c>
      <c r="C35" s="377"/>
      <c r="D35" s="378"/>
      <c r="E35" s="378"/>
      <c r="F35" s="378"/>
      <c r="G35" s="378"/>
      <c r="H35" s="378"/>
      <c r="I35" s="378"/>
      <c r="J35" s="378"/>
      <c r="K35" s="378"/>
      <c r="L35" s="378"/>
      <c r="M35" s="378"/>
      <c r="N35" s="378"/>
      <c r="O35" s="378"/>
      <c r="P35" s="378"/>
      <c r="Q35" s="378"/>
      <c r="R35" s="378"/>
      <c r="S35" s="378"/>
      <c r="T35" s="378"/>
      <c r="U35" s="378"/>
      <c r="V35" s="378"/>
      <c r="W35" s="378"/>
      <c r="X35" s="378"/>
      <c r="Y35" s="378"/>
      <c r="Z35" s="378"/>
      <c r="AA35" s="378"/>
      <c r="AB35" s="378"/>
      <c r="AC35" s="378"/>
      <c r="AD35" s="378"/>
      <c r="AE35" s="378"/>
      <c r="AF35" s="379"/>
    </row>
    <row r="36" spans="1:32" ht="15.75" thickBot="1" x14ac:dyDescent="0.3">
      <c r="A36" s="439"/>
      <c r="B36" s="380">
        <v>1</v>
      </c>
      <c r="C36" s="381">
        <v>2</v>
      </c>
      <c r="D36" s="381">
        <v>3</v>
      </c>
      <c r="E36" s="381">
        <v>4</v>
      </c>
      <c r="F36" s="381">
        <v>5</v>
      </c>
      <c r="G36" s="381">
        <v>6</v>
      </c>
      <c r="H36" s="381">
        <v>7</v>
      </c>
      <c r="I36" s="381">
        <v>8</v>
      </c>
      <c r="J36" s="381">
        <v>9</v>
      </c>
      <c r="K36" s="381">
        <v>10</v>
      </c>
      <c r="L36" s="381">
        <v>11</v>
      </c>
      <c r="M36" s="381">
        <v>12</v>
      </c>
      <c r="N36" s="381">
        <v>13</v>
      </c>
      <c r="O36" s="381">
        <v>14</v>
      </c>
      <c r="P36" s="381">
        <v>15</v>
      </c>
      <c r="Q36" s="381">
        <v>16</v>
      </c>
      <c r="R36" s="381">
        <v>17</v>
      </c>
      <c r="S36" s="381">
        <v>18</v>
      </c>
      <c r="T36" s="381">
        <v>19</v>
      </c>
      <c r="U36" s="381">
        <v>20</v>
      </c>
      <c r="V36" s="381">
        <v>21</v>
      </c>
      <c r="W36" s="381">
        <v>22</v>
      </c>
      <c r="X36" s="381">
        <v>23</v>
      </c>
      <c r="Y36" s="381">
        <v>24</v>
      </c>
      <c r="Z36" s="381">
        <v>25</v>
      </c>
      <c r="AA36" s="381">
        <v>26</v>
      </c>
      <c r="AB36" s="381">
        <v>27</v>
      </c>
      <c r="AC36" s="381">
        <v>28</v>
      </c>
      <c r="AD36" s="381">
        <v>29</v>
      </c>
      <c r="AE36" s="382">
        <v>30</v>
      </c>
      <c r="AF36" s="383" t="s">
        <v>72</v>
      </c>
    </row>
    <row r="37" spans="1:32" ht="15.75" thickBot="1" x14ac:dyDescent="0.3">
      <c r="A37" t="s">
        <v>78</v>
      </c>
      <c r="B37" s="440">
        <v>0</v>
      </c>
      <c r="C37" s="441">
        <v>880</v>
      </c>
      <c r="D37" s="441">
        <v>0</v>
      </c>
      <c r="E37" s="441">
        <v>0</v>
      </c>
      <c r="F37" s="441">
        <v>0</v>
      </c>
      <c r="G37" s="441">
        <v>1040</v>
      </c>
      <c r="H37" s="441">
        <v>1079</v>
      </c>
      <c r="I37" s="441">
        <v>1200</v>
      </c>
      <c r="J37" s="441">
        <v>1280</v>
      </c>
      <c r="K37" s="441">
        <v>1520</v>
      </c>
      <c r="L37" s="441">
        <v>1040</v>
      </c>
      <c r="M37" s="441">
        <v>0</v>
      </c>
      <c r="N37" s="441">
        <v>1360</v>
      </c>
      <c r="O37" s="441">
        <v>1280</v>
      </c>
      <c r="P37" s="441">
        <v>1200</v>
      </c>
      <c r="Q37" s="441">
        <v>1600</v>
      </c>
      <c r="R37" s="441">
        <v>1440</v>
      </c>
      <c r="S37" s="441">
        <v>1680</v>
      </c>
      <c r="T37" s="441">
        <v>0</v>
      </c>
      <c r="U37" s="441">
        <v>1600</v>
      </c>
      <c r="V37" s="441">
        <v>1360</v>
      </c>
      <c r="W37" s="441">
        <v>1520</v>
      </c>
      <c r="X37" s="441">
        <v>1495</v>
      </c>
      <c r="Y37" s="441">
        <v>1360</v>
      </c>
      <c r="Z37" s="441">
        <v>1360</v>
      </c>
      <c r="AA37" s="441">
        <v>800</v>
      </c>
      <c r="AB37" s="441">
        <v>1520</v>
      </c>
      <c r="AC37" s="441">
        <v>1600</v>
      </c>
      <c r="AD37" s="441">
        <v>1680</v>
      </c>
      <c r="AE37" s="441">
        <v>1520</v>
      </c>
      <c r="AF37" s="442">
        <v>32414</v>
      </c>
    </row>
    <row r="38" spans="1:32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2" x14ac:dyDescent="0.25">
      <c r="B39" s="86"/>
      <c r="C39" s="86"/>
      <c r="D39" s="86"/>
      <c r="E39" s="86"/>
      <c r="F39" s="86"/>
      <c r="H39" s="86"/>
      <c r="I39" s="86"/>
      <c r="J39" s="86"/>
      <c r="K39" s="86"/>
      <c r="L39" s="86"/>
      <c r="M39" s="86"/>
      <c r="W39" s="86"/>
      <c r="X39" s="86"/>
    </row>
    <row r="40" spans="1:32" x14ac:dyDescent="0.25">
      <c r="B40" s="86"/>
      <c r="C40" s="86"/>
      <c r="D40" s="86"/>
      <c r="E40" s="86"/>
      <c r="F40" s="86"/>
      <c r="H40" s="86"/>
      <c r="I40" s="86"/>
      <c r="J40" s="86"/>
      <c r="K40" s="86"/>
      <c r="L40" s="86"/>
      <c r="M40" s="86"/>
      <c r="W40" s="86"/>
      <c r="X40" s="86"/>
    </row>
    <row r="41" spans="1:32" x14ac:dyDescent="0.25">
      <c r="B41" s="86"/>
      <c r="C41" s="86"/>
      <c r="D41" s="86"/>
      <c r="E41" s="86"/>
      <c r="F41" s="86"/>
      <c r="H41" s="86"/>
      <c r="I41" s="86"/>
      <c r="J41" s="86"/>
      <c r="K41" s="86"/>
      <c r="L41" s="86"/>
      <c r="M41" s="86"/>
      <c r="W41" s="86"/>
      <c r="X41" s="86"/>
    </row>
    <row r="42" spans="1:32" x14ac:dyDescent="0.25">
      <c r="W42" s="86"/>
      <c r="X42" s="86"/>
    </row>
    <row r="50" spans="2:24" x14ac:dyDescent="0.25">
      <c r="W50" s="86"/>
      <c r="X50" s="86"/>
    </row>
    <row r="51" spans="2:24" x14ac:dyDescent="0.25">
      <c r="W51" s="86"/>
      <c r="X51" s="86"/>
    </row>
    <row r="52" spans="2:24" x14ac:dyDescent="0.25">
      <c r="W52" s="86"/>
      <c r="X52" s="86"/>
    </row>
    <row r="57" spans="2:24" x14ac:dyDescent="0.25"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U57" s="86"/>
      <c r="W57" s="86"/>
      <c r="X57" s="86"/>
    </row>
    <row r="58" spans="2:24" x14ac:dyDescent="0.25">
      <c r="W58" s="86"/>
      <c r="X58" s="86"/>
    </row>
    <row r="66" spans="23:24" x14ac:dyDescent="0.25">
      <c r="W66" s="86"/>
      <c r="X66" s="86"/>
    </row>
    <row r="67" spans="23:24" x14ac:dyDescent="0.25">
      <c r="W67" s="86"/>
      <c r="X67" s="86"/>
    </row>
    <row r="68" spans="23:24" x14ac:dyDescent="0.25">
      <c r="W68" s="86"/>
      <c r="X68" s="86"/>
    </row>
    <row r="69" spans="23:24" x14ac:dyDescent="0.25">
      <c r="W69" s="86"/>
      <c r="X69" s="86"/>
    </row>
    <row r="70" spans="23:24" x14ac:dyDescent="0.25">
      <c r="W70" s="86"/>
      <c r="X70" s="86"/>
    </row>
    <row r="71" spans="23:24" x14ac:dyDescent="0.25">
      <c r="W71" s="86"/>
      <c r="X71" s="86"/>
    </row>
    <row r="72" spans="23:24" x14ac:dyDescent="0.25">
      <c r="W72" s="86"/>
      <c r="X72" s="86"/>
    </row>
    <row r="73" spans="23:24" x14ac:dyDescent="0.25">
      <c r="W73" s="86"/>
      <c r="X73" s="86"/>
    </row>
    <row r="74" spans="23:24" x14ac:dyDescent="0.25">
      <c r="W74" s="86"/>
      <c r="X74" s="86"/>
    </row>
    <row r="75" spans="23:24" x14ac:dyDescent="0.25">
      <c r="W75" s="86"/>
      <c r="X75" s="86"/>
    </row>
    <row r="76" spans="23:24" x14ac:dyDescent="0.25">
      <c r="W76" s="86"/>
      <c r="X76" s="86"/>
    </row>
    <row r="77" spans="23:24" x14ac:dyDescent="0.25">
      <c r="W77" s="86"/>
      <c r="X77" s="86"/>
    </row>
    <row r="78" spans="23:24" x14ac:dyDescent="0.25">
      <c r="W78" s="86"/>
      <c r="X78" s="86"/>
    </row>
    <row r="79" spans="23:24" x14ac:dyDescent="0.25">
      <c r="W79" s="86"/>
      <c r="X79" s="86"/>
    </row>
    <row r="80" spans="23:24" x14ac:dyDescent="0.25">
      <c r="W80" s="86"/>
      <c r="X80" s="86"/>
    </row>
    <row r="81" spans="23:24" x14ac:dyDescent="0.25">
      <c r="W81" s="86"/>
      <c r="X81" s="86"/>
    </row>
    <row r="82" spans="23:24" x14ac:dyDescent="0.25">
      <c r="W82" s="86"/>
      <c r="X82" s="86"/>
    </row>
    <row r="83" spans="23:24" x14ac:dyDescent="0.25">
      <c r="W83" s="86"/>
      <c r="X83" s="86"/>
    </row>
    <row r="84" spans="23:24" x14ac:dyDescent="0.25">
      <c r="W84" s="86"/>
      <c r="X84" s="86"/>
    </row>
    <row r="85" spans="23:24" x14ac:dyDescent="0.25">
      <c r="W85" s="86"/>
      <c r="X85" s="86"/>
    </row>
    <row r="86" spans="23:24" x14ac:dyDescent="0.25">
      <c r="W86" s="86"/>
      <c r="X86" s="86"/>
    </row>
    <row r="87" spans="23:24" x14ac:dyDescent="0.25">
      <c r="W87" s="86"/>
      <c r="X87" s="86"/>
    </row>
    <row r="88" spans="23:24" x14ac:dyDescent="0.25">
      <c r="W88" s="86"/>
      <c r="X88" s="86"/>
    </row>
    <row r="89" spans="23:24" x14ac:dyDescent="0.25">
      <c r="W89" s="86"/>
      <c r="X89" s="86"/>
    </row>
    <row r="90" spans="23:24" x14ac:dyDescent="0.25">
      <c r="W90" s="86"/>
      <c r="X90" s="86"/>
    </row>
    <row r="91" spans="23:24" x14ac:dyDescent="0.25">
      <c r="W91" s="86"/>
      <c r="X91" s="86"/>
    </row>
    <row r="92" spans="23:24" x14ac:dyDescent="0.25">
      <c r="W92" s="86"/>
      <c r="X92" s="86"/>
    </row>
    <row r="93" spans="23:24" x14ac:dyDescent="0.25">
      <c r="W93" s="86"/>
      <c r="X93" s="86"/>
    </row>
    <row r="94" spans="23:24" x14ac:dyDescent="0.25">
      <c r="W94" s="86"/>
      <c r="X94" s="86"/>
    </row>
    <row r="95" spans="23:24" x14ac:dyDescent="0.25">
      <c r="W95" s="86"/>
      <c r="X95" s="86"/>
    </row>
    <row r="96" spans="23:24" x14ac:dyDescent="0.25">
      <c r="W96" s="86"/>
      <c r="X96" s="86"/>
    </row>
    <row r="97" spans="23:24" x14ac:dyDescent="0.25">
      <c r="W97" s="86"/>
      <c r="X97" s="86"/>
    </row>
    <row r="98" spans="23:24" x14ac:dyDescent="0.25">
      <c r="W98" s="86"/>
      <c r="X98" s="86"/>
    </row>
    <row r="99" spans="23:24" x14ac:dyDescent="0.25">
      <c r="W99" s="86"/>
      <c r="X99" s="86"/>
    </row>
    <row r="100" spans="23:24" x14ac:dyDescent="0.25">
      <c r="W100" s="86"/>
      <c r="X100" s="86"/>
    </row>
    <row r="101" spans="23:24" x14ac:dyDescent="0.25">
      <c r="W101" s="86"/>
      <c r="X101" s="86"/>
    </row>
    <row r="102" spans="23:24" x14ac:dyDescent="0.25">
      <c r="W102" s="86"/>
      <c r="X102" s="86"/>
    </row>
    <row r="103" spans="23:24" x14ac:dyDescent="0.25">
      <c r="W103" s="86"/>
      <c r="X103" s="86"/>
    </row>
    <row r="104" spans="23:24" x14ac:dyDescent="0.25">
      <c r="W104" s="86"/>
      <c r="X104" s="86"/>
    </row>
    <row r="105" spans="23:24" x14ac:dyDescent="0.25">
      <c r="W105" s="86"/>
      <c r="X105" s="86"/>
    </row>
    <row r="106" spans="23:24" x14ac:dyDescent="0.25">
      <c r="W106" s="86"/>
      <c r="X106" s="86"/>
    </row>
    <row r="107" spans="23:24" x14ac:dyDescent="0.25">
      <c r="W107" s="86"/>
      <c r="X107" s="86"/>
    </row>
    <row r="108" spans="23:24" x14ac:dyDescent="0.25">
      <c r="W108" s="86"/>
      <c r="X108" s="86"/>
    </row>
  </sheetData>
  <mergeCells count="3">
    <mergeCell ref="A24:F24"/>
    <mergeCell ref="A1:F1"/>
    <mergeCell ref="A12:F12"/>
  </mergeCells>
  <conditionalFormatting pivot="1" sqref="B27:AE27">
    <cfRule type="cellIs" dxfId="426" priority="4" operator="greaterThan">
      <formula>350</formula>
    </cfRule>
  </conditionalFormatting>
  <conditionalFormatting pivot="1" sqref="C28:AE28">
    <cfRule type="cellIs" dxfId="425" priority="3" operator="greaterThan">
      <formula>700</formula>
    </cfRule>
  </conditionalFormatting>
  <conditionalFormatting pivot="1" sqref="B29:AE29">
    <cfRule type="cellIs" dxfId="424" priority="2" operator="greaterThan">
      <formula>300</formula>
    </cfRule>
  </conditionalFormatting>
  <conditionalFormatting pivot="1" sqref="B37:AF37">
    <cfRule type="cellIs" dxfId="423" priority="1" operator="greaterThan">
      <formula>1920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5" x14ac:dyDescent="0.25"/>
  <cols>
    <col min="1" max="1" width="0.42578125" customWidth="1"/>
    <col min="2" max="2" width="26.140625" customWidth="1"/>
    <col min="3" max="3" width="11.5703125" customWidth="1"/>
    <col min="4" max="4" width="10.85546875" style="1" customWidth="1"/>
    <col min="5" max="5" width="7.7109375" bestFit="1" customWidth="1"/>
    <col min="6" max="6" width="8.28515625" customWidth="1"/>
    <col min="7" max="7" width="9.140625" style="1" customWidth="1"/>
    <col min="8" max="8" width="8.140625" bestFit="1" customWidth="1"/>
    <col min="9" max="9" width="10" customWidth="1"/>
    <col min="10" max="10" width="8.7109375" style="1" bestFit="1" customWidth="1"/>
    <col min="11" max="11" width="7.85546875" customWidth="1"/>
    <col min="13" max="13" width="8.85546875" style="1" bestFit="1" customWidth="1"/>
    <col min="17" max="17" width="11.85546875" customWidth="1"/>
    <col min="18" max="23" width="12" customWidth="1"/>
  </cols>
  <sheetData>
    <row r="1" spans="2:68" ht="3.75" customHeight="1" thickBot="1" x14ac:dyDescent="0.3"/>
    <row r="2" spans="2:68" ht="48.75" customHeight="1" x14ac:dyDescent="0.25">
      <c r="B2" s="816" t="s">
        <v>7</v>
      </c>
      <c r="C2" s="825" t="s">
        <v>12</v>
      </c>
      <c r="D2" s="821" t="s">
        <v>14</v>
      </c>
      <c r="E2" s="822"/>
      <c r="F2" s="823" t="s">
        <v>9</v>
      </c>
      <c r="G2" s="824"/>
      <c r="H2" s="827" t="s">
        <v>18</v>
      </c>
      <c r="I2" s="828"/>
      <c r="J2" s="809" t="s">
        <v>13</v>
      </c>
      <c r="K2" s="810"/>
      <c r="L2" s="807" t="s">
        <v>37</v>
      </c>
      <c r="M2" s="808"/>
      <c r="N2" s="807" t="s">
        <v>38</v>
      </c>
      <c r="O2" s="808"/>
    </row>
    <row r="3" spans="2:68" ht="15.75" thickBot="1" x14ac:dyDescent="0.3">
      <c r="B3" s="817"/>
      <c r="C3" s="826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25">
      <c r="B4" s="3" t="s">
        <v>1</v>
      </c>
      <c r="C4" s="2">
        <v>1.24</v>
      </c>
      <c r="D4" s="20" t="s">
        <v>192</v>
      </c>
      <c r="E4" s="4">
        <f>D4*C4</f>
        <v>1860</v>
      </c>
      <c r="F4" s="20">
        <f>GETPIVOTDATA("COF 280 ACIDO (L)",'CONSUMO QUÍMICA-CAUDALES GEM  '!$A$2)</f>
        <v>7170</v>
      </c>
      <c r="G4" s="4">
        <f>GETPIVOTDATA("COF 280 - KG ACIDO",'CONSUMO QUÍMICA-CAUDALES GEM  '!$A$13)</f>
        <v>9321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2717.1612903225814</v>
      </c>
      <c r="K4" s="51">
        <f>J4*$C4</f>
        <v>3369.2800000000011</v>
      </c>
      <c r="L4" s="50">
        <f>97+48+97</f>
        <v>242</v>
      </c>
      <c r="M4" s="51">
        <f>L4*$C4</f>
        <v>300.08</v>
      </c>
      <c r="N4" s="50">
        <f>J4-L4-1000</f>
        <v>1475.1612903225814</v>
      </c>
      <c r="O4" s="51">
        <f>N4*$C4</f>
        <v>1829.200000000001</v>
      </c>
      <c r="P4" s="1"/>
    </row>
    <row r="5" spans="2:68" ht="15.75" customHeight="1" x14ac:dyDescent="0.25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9830</v>
      </c>
      <c r="G5" s="6">
        <f>GETPIVOTDATA("COF 235 - KG COAGULANTE",'CONSUMO QUÍMICA-CAUDALES GEM  '!$A$13)</f>
        <v>13024.75</v>
      </c>
      <c r="H5" s="20">
        <f>(+C16+E16+G16+I16+K16+M16+O16+Q16+S16)</f>
        <v>13000</v>
      </c>
      <c r="I5" s="4">
        <f>H5*C5</f>
        <v>17225</v>
      </c>
      <c r="J5" s="6">
        <f>(D5+H5)-F5</f>
        <v>6670</v>
      </c>
      <c r="K5" s="6">
        <f t="shared" ref="K5:M8" si="0">J5*$C5</f>
        <v>8837.75</v>
      </c>
      <c r="L5" s="20">
        <v>0</v>
      </c>
      <c r="M5" s="6">
        <f t="shared" si="0"/>
        <v>0</v>
      </c>
      <c r="N5" s="20">
        <f>J5-L5</f>
        <v>6670</v>
      </c>
      <c r="O5" s="6">
        <f>N5*$C5</f>
        <v>8837.75</v>
      </c>
      <c r="P5" s="1"/>
    </row>
    <row r="6" spans="2:68" ht="14.25" x14ac:dyDescent="0.25">
      <c r="B6" s="5" t="s">
        <v>0</v>
      </c>
      <c r="C6" s="2">
        <v>1.1000000000000001</v>
      </c>
      <c r="D6" s="20" t="s">
        <v>193</v>
      </c>
      <c r="E6" s="6">
        <f>D6*C6</f>
        <v>462.00000000000006</v>
      </c>
      <c r="F6" s="20">
        <f>GETPIVOTDATA("COF 255  DECOLORANTE (L)",'CONSUMO QUÍMICA-CAUDALES GEM  '!$A$2)</f>
        <v>3840</v>
      </c>
      <c r="G6" s="6">
        <f>GETPIVOTDATA("COF 255 - KG DECOLORANTE ",'CONSUMO QUÍMICA-CAUDALES GEM  '!$A$13)</f>
        <v>4800</v>
      </c>
      <c r="H6" s="20">
        <f>(+C17+E17+G17+I17+K17+M17+O17+Q17+S17)</f>
        <v>7681.7272727272721</v>
      </c>
      <c r="I6" s="4">
        <f>H6*C6</f>
        <v>8449.9</v>
      </c>
      <c r="J6" s="6">
        <f>(D6+H6)-F6</f>
        <v>4261.7272727272721</v>
      </c>
      <c r="K6" s="6">
        <f t="shared" si="0"/>
        <v>4687.8999999999996</v>
      </c>
      <c r="L6" s="20">
        <f>273+273+273+409+136</f>
        <v>1364</v>
      </c>
      <c r="M6" s="6">
        <f t="shared" si="0"/>
        <v>1500.4</v>
      </c>
      <c r="N6" s="20">
        <f>J6-L6</f>
        <v>2897.7272727272721</v>
      </c>
      <c r="O6" s="6">
        <f>N6*$C6</f>
        <v>3187.4999999999995</v>
      </c>
      <c r="P6" s="1"/>
    </row>
    <row r="7" spans="2:68" x14ac:dyDescent="0.25">
      <c r="B7" s="5" t="s">
        <v>3</v>
      </c>
      <c r="C7" s="2">
        <v>2.5000000000000001E-3</v>
      </c>
      <c r="D7" s="20" t="s">
        <v>194</v>
      </c>
      <c r="E7" s="6">
        <f>D7*C7</f>
        <v>0.35000000000000003</v>
      </c>
      <c r="F7" s="20">
        <f>(GETPIVOTDATA("COF 440 POL ANIONICO (KG)",'CONSUMO QUÍMICA-CAUDALES GEM  '!$A$2)/C7)</f>
        <v>78000</v>
      </c>
      <c r="G7" s="6">
        <f>GETPIVOTDATA("COF 440 - KG POL ANIONICO ",'CONSUMO QUÍMICA-CAUDALES GEM  '!$A$13)</f>
        <v>195</v>
      </c>
      <c r="H7" s="20">
        <f>(+C18+E18+G18+I18+K18+M18+O18+Q18+S18)</f>
        <v>30000</v>
      </c>
      <c r="I7" s="4">
        <f>H7*C7</f>
        <v>75</v>
      </c>
      <c r="J7" s="6">
        <f>(D7+H7)-F7</f>
        <v>-47860</v>
      </c>
      <c r="K7" s="6">
        <f t="shared" si="0"/>
        <v>-119.65</v>
      </c>
      <c r="L7" s="20">
        <v>0</v>
      </c>
      <c r="M7" s="6">
        <f t="shared" si="0"/>
        <v>0</v>
      </c>
      <c r="N7" s="20">
        <f>J7-L7</f>
        <v>-47860</v>
      </c>
      <c r="O7" s="6">
        <f>N7*$C7</f>
        <v>-119.65</v>
      </c>
      <c r="P7" s="1"/>
    </row>
    <row r="8" spans="2:68" ht="15.75" thickBot="1" x14ac:dyDescent="0.3">
      <c r="B8" s="7" t="s">
        <v>8</v>
      </c>
      <c r="C8" s="29">
        <v>2.5000000000000001E-3</v>
      </c>
      <c r="D8" s="21" t="s">
        <v>195</v>
      </c>
      <c r="E8" s="8">
        <f>D8*C8</f>
        <v>0.38750000000000001</v>
      </c>
      <c r="F8" s="21">
        <v>150000</v>
      </c>
      <c r="G8" s="8">
        <f>GETPIVOTDATA("COF 494 - KG POL CATIONICO ",'CONSUMO QUÍMICA-CAUDALES GEM  '!$A$13)</f>
        <v>355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">
      <c r="B9" s="9"/>
      <c r="C9" s="9"/>
      <c r="D9" s="37"/>
      <c r="E9" s="9"/>
      <c r="L9" s="773"/>
      <c r="M9" s="773"/>
      <c r="N9" s="773"/>
      <c r="O9" s="773"/>
      <c r="P9" s="773"/>
      <c r="Q9" s="773"/>
      <c r="R9" s="773"/>
      <c r="S9" s="773"/>
      <c r="T9" s="773"/>
      <c r="U9" s="773"/>
      <c r="V9" s="773"/>
      <c r="W9" s="773"/>
      <c r="X9" s="773"/>
      <c r="Y9" s="773"/>
      <c r="Z9" s="773"/>
      <c r="AA9" s="773"/>
      <c r="AB9" s="773"/>
      <c r="AC9" s="773"/>
      <c r="AD9" s="773"/>
      <c r="AE9" s="773"/>
      <c r="AF9" s="773"/>
      <c r="AG9" s="773"/>
      <c r="AH9" s="773"/>
      <c r="AI9" s="773"/>
      <c r="AJ9" s="773"/>
      <c r="AK9" s="773"/>
      <c r="AL9" s="773"/>
      <c r="AM9" s="773"/>
      <c r="AN9" s="773"/>
      <c r="AO9" s="773"/>
      <c r="AP9" s="773"/>
      <c r="AQ9" s="773"/>
      <c r="AR9" s="773"/>
      <c r="AS9" s="773"/>
      <c r="AT9" s="773"/>
      <c r="AU9" s="773"/>
      <c r="AV9" s="773"/>
      <c r="AW9" s="773"/>
      <c r="AX9" s="773"/>
      <c r="AY9" s="773"/>
      <c r="AZ9" s="773"/>
      <c r="BA9" s="773"/>
      <c r="BB9" s="773"/>
      <c r="BC9" s="773"/>
      <c r="BD9" s="773"/>
      <c r="BE9" s="773"/>
      <c r="BF9" s="773"/>
      <c r="BG9" s="773"/>
      <c r="BH9" s="773"/>
      <c r="BI9" s="773"/>
      <c r="BJ9" s="773"/>
      <c r="BK9" s="773"/>
      <c r="BL9" s="773"/>
      <c r="BM9" s="773"/>
      <c r="BN9" s="773"/>
      <c r="BO9" s="773"/>
      <c r="BP9" s="773"/>
    </row>
    <row r="10" spans="2:68" ht="16.5" customHeight="1" thickBot="1" x14ac:dyDescent="0.3">
      <c r="B10" s="818" t="s">
        <v>7</v>
      </c>
      <c r="C10" s="804" t="s">
        <v>17</v>
      </c>
      <c r="D10" s="805"/>
      <c r="E10" s="805"/>
      <c r="F10" s="805"/>
      <c r="G10" s="805"/>
      <c r="H10" s="805"/>
      <c r="I10" s="805"/>
      <c r="J10" s="805"/>
      <c r="K10" s="805"/>
      <c r="L10" s="805"/>
      <c r="M10" s="805"/>
      <c r="N10" s="805"/>
      <c r="O10" s="805"/>
      <c r="P10" s="805"/>
      <c r="Q10" s="805"/>
      <c r="R10" s="805"/>
      <c r="S10" s="805"/>
      <c r="T10" s="806"/>
    </row>
    <row r="11" spans="2:68" ht="26.45" customHeight="1" x14ac:dyDescent="0.25">
      <c r="B11" s="819"/>
      <c r="C11" s="811">
        <v>45660</v>
      </c>
      <c r="D11" s="813"/>
      <c r="E11" s="811" t="s">
        <v>196</v>
      </c>
      <c r="F11" s="813"/>
      <c r="G11" s="811">
        <v>45672</v>
      </c>
      <c r="H11" s="813"/>
      <c r="I11" s="811">
        <v>45674</v>
      </c>
      <c r="J11" s="812"/>
      <c r="K11" s="811"/>
      <c r="L11" s="813"/>
      <c r="M11" s="811"/>
      <c r="N11" s="813"/>
      <c r="O11" s="811"/>
      <c r="P11" s="813"/>
      <c r="Q11" s="811"/>
      <c r="R11" s="813"/>
      <c r="S11" s="814"/>
      <c r="T11" s="815"/>
    </row>
    <row r="12" spans="2:68" x14ac:dyDescent="0.25">
      <c r="B12" s="819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25">
      <c r="B13" s="819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5.75" thickBot="1" x14ac:dyDescent="0.3">
      <c r="B14" s="820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25">
      <c r="B15" s="12" t="s">
        <v>1</v>
      </c>
      <c r="C15" s="191">
        <v>0</v>
      </c>
      <c r="D15" s="176">
        <f>C15*$C$4</f>
        <v>0</v>
      </c>
      <c r="E15" s="191">
        <v>2097</v>
      </c>
      <c r="F15" s="176">
        <f>E15*$C$4</f>
        <v>2600.2800000000002</v>
      </c>
      <c r="G15" s="191">
        <v>3145</v>
      </c>
      <c r="H15" s="176">
        <f>G15*$C$4</f>
        <v>3899.8</v>
      </c>
      <c r="I15" s="191">
        <v>3145.161290322581</v>
      </c>
      <c r="J15" s="176">
        <f>I15*$C$4</f>
        <v>3900.0000000000005</v>
      </c>
      <c r="K15" s="175"/>
      <c r="L15" s="176"/>
      <c r="M15" s="57"/>
      <c r="N15" s="58"/>
      <c r="O15" s="57"/>
      <c r="P15" s="58"/>
      <c r="Q15" s="57"/>
      <c r="R15" s="58"/>
      <c r="S15" s="57"/>
      <c r="T15" s="14"/>
    </row>
    <row r="16" spans="2:68" ht="14.25" x14ac:dyDescent="0.25">
      <c r="B16" s="15" t="s">
        <v>2</v>
      </c>
      <c r="C16" s="192">
        <v>1000</v>
      </c>
      <c r="D16" s="178">
        <f>+C16*$C$5</f>
        <v>1325</v>
      </c>
      <c r="E16" s="192">
        <v>3000</v>
      </c>
      <c r="F16" s="178">
        <f>+E16*$C$5</f>
        <v>3975</v>
      </c>
      <c r="G16" s="192">
        <v>4000</v>
      </c>
      <c r="H16" s="178">
        <f>+G16*$C$5</f>
        <v>5300</v>
      </c>
      <c r="I16" s="192">
        <v>5000.0000000000009</v>
      </c>
      <c r="J16" s="178">
        <f>+I16*$C$5</f>
        <v>6625.0000000000009</v>
      </c>
      <c r="K16" s="177"/>
      <c r="L16" s="178"/>
      <c r="M16" s="16"/>
      <c r="N16" s="14"/>
      <c r="O16" s="16"/>
      <c r="P16" s="14"/>
      <c r="Q16" s="16"/>
      <c r="R16" s="14"/>
      <c r="S16" s="16"/>
      <c r="T16" s="14"/>
    </row>
    <row r="17" spans="2:92" ht="14.25" x14ac:dyDescent="0.25">
      <c r="B17" s="15" t="s">
        <v>0</v>
      </c>
      <c r="C17" s="192">
        <v>1136</v>
      </c>
      <c r="D17" s="178">
        <f>+C17*$C$6</f>
        <v>1249.6000000000001</v>
      </c>
      <c r="E17" s="192">
        <v>2273</v>
      </c>
      <c r="F17" s="178">
        <f>+E17*$C$6</f>
        <v>2500.3000000000002</v>
      </c>
      <c r="G17" s="192">
        <v>2000</v>
      </c>
      <c r="H17" s="178">
        <f>+G17*$C$6</f>
        <v>2200</v>
      </c>
      <c r="I17" s="192">
        <v>2272.7272727272725</v>
      </c>
      <c r="J17" s="178">
        <f>+I17*$C$6</f>
        <v>2500</v>
      </c>
      <c r="K17" s="177"/>
      <c r="L17" s="178"/>
      <c r="M17" s="16"/>
      <c r="N17" s="14"/>
      <c r="O17" s="16"/>
      <c r="P17" s="14"/>
      <c r="Q17" s="16"/>
      <c r="R17" s="14"/>
      <c r="S17" s="16"/>
      <c r="T17" s="14"/>
    </row>
    <row r="18" spans="2:92" x14ac:dyDescent="0.25">
      <c r="B18" s="15" t="s">
        <v>3</v>
      </c>
      <c r="C18" s="192">
        <v>30000</v>
      </c>
      <c r="D18" s="178">
        <f>+C18*$C$7</f>
        <v>75</v>
      </c>
      <c r="E18" s="192">
        <v>0</v>
      </c>
      <c r="F18" s="178">
        <f>+E18*$C$7</f>
        <v>0</v>
      </c>
      <c r="G18" s="192">
        <v>0</v>
      </c>
      <c r="H18" s="178">
        <f>+G18*$C$7</f>
        <v>0</v>
      </c>
      <c r="I18" s="192">
        <v>0</v>
      </c>
      <c r="J18" s="178">
        <f>+I18*$C$7</f>
        <v>0</v>
      </c>
      <c r="K18" s="177"/>
      <c r="L18" s="178"/>
      <c r="M18" s="16"/>
      <c r="N18" s="14"/>
      <c r="O18" s="16"/>
      <c r="P18" s="14"/>
      <c r="Q18" s="16"/>
      <c r="R18" s="14"/>
      <c r="S18" s="16"/>
      <c r="T18" s="14"/>
    </row>
    <row r="19" spans="2:92" ht="15" customHeight="1" thickBot="1" x14ac:dyDescent="0.3">
      <c r="B19" s="17" t="s">
        <v>8</v>
      </c>
      <c r="C19" s="193">
        <v>0</v>
      </c>
      <c r="D19" s="178">
        <f>+C19*$C$8</f>
        <v>0</v>
      </c>
      <c r="E19" s="193">
        <v>0</v>
      </c>
      <c r="F19" s="178">
        <f>+E19*$C$8</f>
        <v>0</v>
      </c>
      <c r="G19" s="193">
        <v>0</v>
      </c>
      <c r="H19" s="178">
        <f>+G19*$C$8</f>
        <v>0</v>
      </c>
      <c r="I19" s="193">
        <v>40000</v>
      </c>
      <c r="J19" s="178">
        <f>+I19*$C$8</f>
        <v>100</v>
      </c>
      <c r="K19" s="179"/>
      <c r="L19" s="180"/>
      <c r="M19" s="18"/>
      <c r="N19" s="19"/>
      <c r="O19" s="18"/>
      <c r="P19" s="19"/>
      <c r="Q19" s="18"/>
      <c r="R19" s="19"/>
      <c r="S19" s="18"/>
      <c r="T19" s="19"/>
    </row>
    <row r="20" spans="2:92" ht="3.2" customHeight="1" x14ac:dyDescent="0.25">
      <c r="M20"/>
    </row>
    <row r="21" spans="2:92" ht="7.5" customHeight="1" thickBot="1" x14ac:dyDescent="0.3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75" customHeight="1" thickBot="1" x14ac:dyDescent="0.3">
      <c r="B22" s="829" t="s">
        <v>7</v>
      </c>
      <c r="C22" s="802" t="s">
        <v>25</v>
      </c>
      <c r="D22" s="803"/>
      <c r="E22" s="803"/>
      <c r="F22" s="803"/>
      <c r="G22" s="803"/>
      <c r="H22" s="803"/>
      <c r="I22" s="803"/>
      <c r="J22" s="803"/>
      <c r="K22" s="803"/>
      <c r="L22" s="803"/>
      <c r="M22" s="803"/>
      <c r="N22" s="803"/>
      <c r="O22" s="803"/>
      <c r="P22" s="803"/>
      <c r="Q22" s="803"/>
      <c r="R22" s="803"/>
      <c r="S22" s="803"/>
      <c r="T22" s="803"/>
      <c r="U22" s="803"/>
      <c r="V22" s="803"/>
      <c r="W22" s="803"/>
      <c r="X22" s="803"/>
      <c r="Y22" s="803"/>
      <c r="Z22" s="803"/>
      <c r="AA22" s="803"/>
      <c r="AB22" s="803"/>
      <c r="AC22" s="803"/>
      <c r="AD22" s="803"/>
      <c r="AE22" s="803"/>
      <c r="AF22" s="80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75" customHeight="1" thickBot="1" x14ac:dyDescent="0.3">
      <c r="B23" s="830"/>
      <c r="C23" s="799">
        <v>2</v>
      </c>
      <c r="D23" s="800"/>
      <c r="E23" s="801"/>
      <c r="F23" s="799">
        <v>3</v>
      </c>
      <c r="G23" s="800"/>
      <c r="H23" s="801"/>
      <c r="I23" s="799">
        <v>4</v>
      </c>
      <c r="J23" s="800"/>
      <c r="K23" s="801"/>
      <c r="L23" s="799">
        <v>45667</v>
      </c>
      <c r="M23" s="800"/>
      <c r="N23" s="801"/>
      <c r="O23" s="799">
        <v>45668</v>
      </c>
      <c r="P23" s="800"/>
      <c r="Q23" s="801"/>
      <c r="R23" s="799">
        <v>45670</v>
      </c>
      <c r="S23" s="800"/>
      <c r="T23" s="801"/>
      <c r="U23" s="799">
        <v>45672</v>
      </c>
      <c r="V23" s="800"/>
      <c r="W23" s="801"/>
      <c r="X23" s="799">
        <v>45673</v>
      </c>
      <c r="Y23" s="800"/>
      <c r="Z23" s="801"/>
      <c r="AA23" s="799">
        <v>45674</v>
      </c>
      <c r="AB23" s="800"/>
      <c r="AC23" s="801"/>
      <c r="AD23" s="799">
        <v>45677</v>
      </c>
      <c r="AE23" s="800"/>
      <c r="AF23" s="801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5" customHeight="1" thickBot="1" x14ac:dyDescent="0.3">
      <c r="B24" s="831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25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194">
        <v>2</v>
      </c>
      <c r="M25" s="53"/>
      <c r="N25" s="4">
        <f>L25*M25</f>
        <v>0</v>
      </c>
      <c r="O25" s="13"/>
      <c r="P25" s="53"/>
      <c r="Q25" s="4">
        <f>O25*P25</f>
        <v>0</v>
      </c>
      <c r="R25" s="194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25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25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25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5.75" thickBot="1" x14ac:dyDescent="0.3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25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25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25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25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25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25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25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25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25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25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25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25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25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25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25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25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25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25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25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25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25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25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25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25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25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25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25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25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25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25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25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25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25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25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25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25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25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25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25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25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25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25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25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25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25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25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25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25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25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25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25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25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25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25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25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25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25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25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25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25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25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25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25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25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25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25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25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25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25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25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25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25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25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25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25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25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25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25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25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25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25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25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25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25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25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25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25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25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25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25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25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25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25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25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25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25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25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25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25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25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25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25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25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25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25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25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25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25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25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25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25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25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25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25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25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25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25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25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25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25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25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25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25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25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25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25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25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25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25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25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25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25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25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25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25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25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25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25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25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25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25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25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25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25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25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25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25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25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25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25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25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25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25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25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25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25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25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25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25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25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25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25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25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25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25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25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25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25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25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25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25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25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25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25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25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25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25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25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25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25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25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25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25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25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25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25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25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25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25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25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25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25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25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25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25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25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25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25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25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25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25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25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25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25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25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25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25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25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25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25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25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25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25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25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25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25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25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25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25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25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25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25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25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25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25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25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25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25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25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25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25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25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25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25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25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25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25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25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25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25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25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25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25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25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25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25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25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25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25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25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25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25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25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25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25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25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25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25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25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25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25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25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25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25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25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25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25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25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25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25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25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25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25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25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25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25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25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25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25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25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25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25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25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25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25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25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25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25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25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25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25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25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25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25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25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25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25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25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25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25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25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25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25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25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25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25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25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25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25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25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25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25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25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25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25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25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25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25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25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25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25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25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25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25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25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25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25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25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25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25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25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25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25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25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25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25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25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25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25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25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25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25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25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25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25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25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25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25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25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25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25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25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25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25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25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25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25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25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25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25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25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25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25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25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25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25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25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25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25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25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25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25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25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25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25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25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25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25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25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25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25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25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25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25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25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25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B22:B24"/>
    <mergeCell ref="C23:E23"/>
    <mergeCell ref="F23:H23"/>
    <mergeCell ref="I23:K23"/>
    <mergeCell ref="L23:N23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AD23:AF23"/>
    <mergeCell ref="C22:AF22"/>
    <mergeCell ref="X23:Z23"/>
    <mergeCell ref="AA23:AC23"/>
    <mergeCell ref="C10:T10"/>
    <mergeCell ref="U23:W23"/>
    <mergeCell ref="O23:Q23"/>
    <mergeCell ref="R23:T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 codeName="Hoja9">
    <tabColor rgb="FFFFFF00"/>
  </sheetPr>
  <dimension ref="A1:BG97"/>
  <sheetViews>
    <sheetView zoomScale="70" zoomScaleNormal="70" workbookViewId="0">
      <pane xSplit="8" ySplit="1" topLeftCell="I14" activePane="bottomRight" state="frozen"/>
      <selection pane="topRight" activeCell="I1" sqref="I1"/>
      <selection pane="bottomLeft" activeCell="A2" sqref="A2"/>
      <selection pane="bottomRight" activeCell="W28" sqref="W28"/>
    </sheetView>
  </sheetViews>
  <sheetFormatPr baseColWidth="10" defaultRowHeight="15" x14ac:dyDescent="0.25"/>
  <cols>
    <col min="2" max="2" width="8.7109375" customWidth="1"/>
    <col min="3" max="3" width="12.28515625" bestFit="1" customWidth="1"/>
    <col min="4" max="8" width="11.42578125" hidden="1" customWidth="1"/>
    <col min="9" max="9" width="15.28515625" style="145" bestFit="1" customWidth="1"/>
    <col min="10" max="10" width="19.5703125" style="70" customWidth="1"/>
    <col min="12" max="12" width="10.85546875" style="70" customWidth="1"/>
    <col min="13" max="13" width="16.28515625" style="70" customWidth="1"/>
    <col min="14" max="14" width="17.85546875" style="70" customWidth="1"/>
    <col min="15" max="15" width="2.85546875" style="70" hidden="1" customWidth="1"/>
    <col min="16" max="16" width="17" style="70" customWidth="1"/>
    <col min="17" max="17" width="15.42578125" style="70" customWidth="1"/>
    <col min="18" max="18" width="19.140625" style="70" customWidth="1"/>
    <col min="19" max="19" width="17" style="70" customWidth="1"/>
    <col min="20" max="20" width="19.5703125" style="70" hidden="1" customWidth="1"/>
    <col min="21" max="21" width="15.28515625" style="70" customWidth="1"/>
    <col min="22" max="22" width="15.42578125" style="70" customWidth="1"/>
    <col min="23" max="23" width="21.7109375" style="70" customWidth="1"/>
    <col min="24" max="24" width="23.5703125" style="70" customWidth="1"/>
    <col min="25" max="25" width="3" style="70" hidden="1" customWidth="1"/>
    <col min="26" max="26" width="24.7109375" style="70" customWidth="1"/>
    <col min="27" max="31" width="11.42578125" style="70" hidden="1" customWidth="1"/>
    <col min="32" max="32" width="16.28515625" style="70" customWidth="1"/>
    <col min="33" max="33" width="25.28515625" style="70" customWidth="1"/>
    <col min="34" max="34" width="19.5703125" style="70" customWidth="1"/>
    <col min="35" max="35" width="21.5703125" style="70" hidden="1" customWidth="1"/>
    <col min="36" max="36" width="20.42578125" style="70" customWidth="1"/>
    <col min="38" max="38" width="19.5703125" style="70" customWidth="1"/>
    <col min="39" max="39" width="16.42578125" customWidth="1"/>
    <col min="40" max="41" width="17.42578125" customWidth="1"/>
    <col min="42" max="43" width="17.42578125" hidden="1" customWidth="1"/>
    <col min="44" max="46" width="16.140625" hidden="1" customWidth="1"/>
    <col min="47" max="48" width="16.140625" customWidth="1"/>
    <col min="49" max="49" width="18.140625" customWidth="1"/>
    <col min="50" max="51" width="18.42578125" customWidth="1"/>
    <col min="52" max="52" width="17.85546875" customWidth="1"/>
    <col min="53" max="53" width="19.5703125" customWidth="1"/>
    <col min="54" max="54" width="15.140625" customWidth="1"/>
    <col min="55" max="55" width="13" hidden="1" customWidth="1"/>
    <col min="56" max="56" width="11.28515625" hidden="1" customWidth="1"/>
  </cols>
  <sheetData>
    <row r="1" spans="1:59" s="118" customFormat="1" ht="42.2" customHeight="1" thickBot="1" x14ac:dyDescent="0.3">
      <c r="A1" s="629" t="s">
        <v>27</v>
      </c>
      <c r="B1" s="629" t="s">
        <v>79</v>
      </c>
      <c r="C1" s="629" t="s">
        <v>26</v>
      </c>
      <c r="D1" s="630" t="s">
        <v>23</v>
      </c>
      <c r="E1" s="630" t="s">
        <v>22</v>
      </c>
      <c r="F1" s="630" t="s">
        <v>21</v>
      </c>
      <c r="G1" s="630" t="s">
        <v>20</v>
      </c>
      <c r="H1" s="630" t="s">
        <v>19</v>
      </c>
      <c r="I1" s="631" t="s">
        <v>163</v>
      </c>
      <c r="J1" s="637" t="s">
        <v>102</v>
      </c>
      <c r="K1" s="637" t="s">
        <v>334</v>
      </c>
      <c r="L1" s="632" t="s">
        <v>127</v>
      </c>
      <c r="M1" s="632" t="s">
        <v>128</v>
      </c>
      <c r="N1" s="632" t="s">
        <v>428</v>
      </c>
      <c r="O1" s="632" t="s">
        <v>129</v>
      </c>
      <c r="P1" s="632" t="s">
        <v>130</v>
      </c>
      <c r="Q1" s="633" t="s">
        <v>131</v>
      </c>
      <c r="R1" s="633" t="s">
        <v>132</v>
      </c>
      <c r="S1" s="633" t="s">
        <v>133</v>
      </c>
      <c r="T1" s="633" t="s">
        <v>134</v>
      </c>
      <c r="U1" s="633" t="s">
        <v>135</v>
      </c>
      <c r="V1" s="634" t="s">
        <v>137</v>
      </c>
      <c r="W1" s="634" t="s">
        <v>138</v>
      </c>
      <c r="X1" s="634" t="s">
        <v>139</v>
      </c>
      <c r="Y1" s="634" t="s">
        <v>140</v>
      </c>
      <c r="Z1" s="634" t="s">
        <v>136</v>
      </c>
      <c r="AA1" s="635" t="s">
        <v>97</v>
      </c>
      <c r="AB1" s="635" t="s">
        <v>98</v>
      </c>
      <c r="AC1" s="635" t="s">
        <v>99</v>
      </c>
      <c r="AD1" s="635" t="s">
        <v>100</v>
      </c>
      <c r="AE1" s="635" t="s">
        <v>101</v>
      </c>
      <c r="AF1" s="636" t="s">
        <v>141</v>
      </c>
      <c r="AG1" s="636" t="s">
        <v>145</v>
      </c>
      <c r="AH1" s="636" t="s">
        <v>144</v>
      </c>
      <c r="AI1" s="636" t="s">
        <v>143</v>
      </c>
      <c r="AJ1" s="636" t="s">
        <v>142</v>
      </c>
      <c r="AK1" s="638" t="s">
        <v>103</v>
      </c>
      <c r="AL1" s="638" t="s">
        <v>104</v>
      </c>
      <c r="AM1" s="638" t="s">
        <v>105</v>
      </c>
      <c r="AN1" s="638" t="s">
        <v>106</v>
      </c>
      <c r="AO1" s="638" t="s">
        <v>107</v>
      </c>
      <c r="AP1" s="635" t="s">
        <v>126</v>
      </c>
      <c r="AQ1" s="635" t="s">
        <v>125</v>
      </c>
      <c r="AR1" s="635" t="s">
        <v>124</v>
      </c>
      <c r="AS1" s="635" t="s">
        <v>123</v>
      </c>
      <c r="AT1" s="635" t="s">
        <v>122</v>
      </c>
      <c r="AU1" s="635" t="s">
        <v>108</v>
      </c>
      <c r="AV1" s="635" t="s">
        <v>109</v>
      </c>
      <c r="AW1" s="635" t="s">
        <v>110</v>
      </c>
      <c r="AX1" s="635" t="s">
        <v>111</v>
      </c>
      <c r="AY1" s="635" t="s">
        <v>112</v>
      </c>
      <c r="AZ1" s="639" t="s">
        <v>73</v>
      </c>
      <c r="BA1" s="639" t="s">
        <v>74</v>
      </c>
      <c r="BB1" s="639" t="s">
        <v>113</v>
      </c>
    </row>
    <row r="2" spans="1:59" ht="14.25" x14ac:dyDescent="0.25">
      <c r="A2" s="640">
        <v>46113</v>
      </c>
      <c r="B2" s="641">
        <f>DAY(Tabla2[[#This Row],[FECHA]])</f>
        <v>1</v>
      </c>
      <c r="C2" s="642" t="s">
        <v>28</v>
      </c>
      <c r="D2" s="117"/>
      <c r="E2" s="117"/>
      <c r="F2" s="117"/>
      <c r="G2" s="117"/>
      <c r="H2" s="117"/>
      <c r="I2" s="643" t="e">
        <f>Tabla2[[#This Row],[VOLUMEN ENVIADO A RO (m3)]]/Tabla2[[#This Row],[Q DE OPERACIÓN (m3/h)]]</f>
        <v>#DIV/0!</v>
      </c>
      <c r="J2" s="125">
        <v>0</v>
      </c>
      <c r="K2" s="182">
        <v>0</v>
      </c>
      <c r="L2" s="182">
        <v>0</v>
      </c>
      <c r="M2" s="182">
        <v>0</v>
      </c>
      <c r="N2" s="182">
        <v>0</v>
      </c>
      <c r="O2" s="182">
        <v>0</v>
      </c>
      <c r="P2" s="182">
        <v>0</v>
      </c>
      <c r="Q2" s="125">
        <f t="shared" ref="Q2:Q33" si="0">L2*(1000/114)</f>
        <v>0</v>
      </c>
      <c r="R2" s="125">
        <f t="shared" ref="R2:R33" si="1">M2*(1000/114)</f>
        <v>0</v>
      </c>
      <c r="S2" s="125">
        <f t="shared" ref="S2:S33" si="2">N2*(1000/114)</f>
        <v>0</v>
      </c>
      <c r="T2" s="125">
        <f t="shared" ref="T2:T33" si="3">O2*(1000/114)</f>
        <v>0</v>
      </c>
      <c r="U2" s="125">
        <f t="shared" ref="U2:U33" si="4">P2*(1000/114)</f>
        <v>0</v>
      </c>
      <c r="V2" s="125">
        <f>Q2-Q3</f>
        <v>0</v>
      </c>
      <c r="W2" s="125">
        <f>R2-R3</f>
        <v>0</v>
      </c>
      <c r="X2" s="125">
        <f>S2-S3</f>
        <v>0</v>
      </c>
      <c r="Y2" s="125">
        <f>T2-T3</f>
        <v>0</v>
      </c>
      <c r="Z2" s="125">
        <f>U2-U3</f>
        <v>0</v>
      </c>
      <c r="AA2" s="644">
        <v>1.18</v>
      </c>
      <c r="AB2" s="644">
        <v>1.28</v>
      </c>
      <c r="AC2" s="644">
        <v>1.2</v>
      </c>
      <c r="AD2" s="644">
        <v>1.53</v>
      </c>
      <c r="AE2" s="644">
        <v>1.2</v>
      </c>
      <c r="AF2" s="125">
        <f t="shared" ref="AF2:AJ2" si="5">V2*AA2</f>
        <v>0</v>
      </c>
      <c r="AG2" s="125">
        <f t="shared" si="5"/>
        <v>0</v>
      </c>
      <c r="AH2" s="125">
        <f t="shared" si="5"/>
        <v>0</v>
      </c>
      <c r="AI2" s="125">
        <f t="shared" si="5"/>
        <v>0</v>
      </c>
      <c r="AJ2" s="125">
        <f t="shared" si="5"/>
        <v>0</v>
      </c>
      <c r="AK2" s="617" t="e">
        <f t="shared" ref="AK2:AK33" si="6">(AF2*1000)/$J2</f>
        <v>#DIV/0!</v>
      </c>
      <c r="AL2" s="617" t="e">
        <f t="shared" ref="AL2:AL33" si="7">(AG2*1000)/$J2</f>
        <v>#DIV/0!</v>
      </c>
      <c r="AM2" s="617" t="e">
        <f t="shared" ref="AM2:AM33" si="8">(AH2*1000)/$J2</f>
        <v>#DIV/0!</v>
      </c>
      <c r="AN2" s="617" t="e">
        <f t="shared" ref="AN2:AN33" si="9">(AI2*1000)/$J2</f>
        <v>#DIV/0!</v>
      </c>
      <c r="AO2" s="617" t="e">
        <f t="shared" ref="AO2:AO33" si="10">(AJ2*1000)/$J2</f>
        <v>#DIV/0!</v>
      </c>
      <c r="AP2" s="645">
        <v>1650</v>
      </c>
      <c r="AQ2" s="645">
        <v>19160</v>
      </c>
      <c r="AR2" s="645">
        <v>36239</v>
      </c>
      <c r="AS2" s="645">
        <v>1298</v>
      </c>
      <c r="AT2" s="645">
        <v>4200</v>
      </c>
      <c r="AU2" s="645">
        <f t="shared" ref="AU2:AU33" si="11">AP2*(AG2*0.8)</f>
        <v>0</v>
      </c>
      <c r="AV2" s="645">
        <f t="shared" ref="AV2:AV33" si="12">AQ2*(AH2*0.012)</f>
        <v>0</v>
      </c>
      <c r="AW2" s="645">
        <f t="shared" ref="AW2:AW33" si="13">AR2*(AI2*0.044)</f>
        <v>0</v>
      </c>
      <c r="AX2" s="645">
        <f t="shared" ref="AX2:AX33" si="14">AS2*AJ2</f>
        <v>0</v>
      </c>
      <c r="AY2" s="645">
        <f t="shared" ref="AY2:AY33" si="15">AT2*(J2*0.025)</f>
        <v>0</v>
      </c>
      <c r="AZ2" s="645">
        <f t="shared" ref="AZ2:AZ33" si="16">AU2+AV2+AW2+AX2+AY2</f>
        <v>0</v>
      </c>
      <c r="BA2" s="654">
        <v>1000</v>
      </c>
      <c r="BB2" s="657" t="e">
        <f>+Tabla2[[#This Row],[COSTO QUIMICA ]]/Tabla2[[#This Row],[VOLUMEN ENVIADO A RO (m3)]]</f>
        <v>#DIV/0!</v>
      </c>
    </row>
    <row r="3" spans="1:59" x14ac:dyDescent="0.25">
      <c r="A3" s="646">
        <f>+A2</f>
        <v>46113</v>
      </c>
      <c r="B3" s="610">
        <f>DAY(Tabla2[[#This Row],[FECHA]])</f>
        <v>1</v>
      </c>
      <c r="C3" s="628" t="s">
        <v>29</v>
      </c>
      <c r="D3" s="114"/>
      <c r="E3" s="114"/>
      <c r="F3" s="114"/>
      <c r="G3" s="114"/>
      <c r="H3" s="114"/>
      <c r="I3" s="625" t="e">
        <f>Tabla2[[#This Row],[VOLUMEN ENVIADO A RO (m3)]]/Tabla2[[#This Row],[Q DE OPERACIÓN (m3/h)]]</f>
        <v>#DIV/0!</v>
      </c>
      <c r="J3" s="123">
        <v>0</v>
      </c>
      <c r="K3" s="183">
        <v>0</v>
      </c>
      <c r="L3" s="183">
        <v>0</v>
      </c>
      <c r="M3" s="183">
        <v>0</v>
      </c>
      <c r="N3" s="183">
        <v>0</v>
      </c>
      <c r="O3" s="183">
        <v>0</v>
      </c>
      <c r="P3" s="183">
        <v>0</v>
      </c>
      <c r="Q3" s="123">
        <f t="shared" si="0"/>
        <v>0</v>
      </c>
      <c r="R3" s="123">
        <f t="shared" si="1"/>
        <v>0</v>
      </c>
      <c r="S3" s="123">
        <f t="shared" si="2"/>
        <v>0</v>
      </c>
      <c r="T3" s="123">
        <f t="shared" si="3"/>
        <v>0</v>
      </c>
      <c r="U3" s="123">
        <f t="shared" si="4"/>
        <v>0</v>
      </c>
      <c r="V3" s="123">
        <f t="shared" ref="V3:V66" si="17">Q3-Q4</f>
        <v>0</v>
      </c>
      <c r="W3" s="123">
        <f t="shared" ref="W3:W66" si="18">R3-R4</f>
        <v>0</v>
      </c>
      <c r="X3" s="123">
        <f t="shared" ref="X3:X66" si="19">S3-S4</f>
        <v>0</v>
      </c>
      <c r="Y3" s="123">
        <f t="shared" ref="Y3:Y66" si="20">T3-T4</f>
        <v>0</v>
      </c>
      <c r="Z3" s="123">
        <f t="shared" ref="Z3:Z66" si="21">U3-U4</f>
        <v>0</v>
      </c>
      <c r="AA3" s="626">
        <v>1.18</v>
      </c>
      <c r="AB3" s="626">
        <v>1.28</v>
      </c>
      <c r="AC3" s="626">
        <v>1.2</v>
      </c>
      <c r="AD3" s="626">
        <v>1.53</v>
      </c>
      <c r="AE3" s="626">
        <v>1.2</v>
      </c>
      <c r="AF3" s="123">
        <f t="shared" ref="AF3:AF66" si="22">V3*AA3</f>
        <v>0</v>
      </c>
      <c r="AG3" s="123">
        <f t="shared" ref="AG3:AG66" si="23">W3*AB3</f>
        <v>0</v>
      </c>
      <c r="AH3" s="123">
        <f t="shared" ref="AH3:AH66" si="24">X3*AC3</f>
        <v>0</v>
      </c>
      <c r="AI3" s="123">
        <f t="shared" ref="AI3:AI66" si="25">Y3*AD3</f>
        <v>0</v>
      </c>
      <c r="AJ3" s="123">
        <f t="shared" ref="AJ3:AJ66" si="26">Z3*AE3</f>
        <v>0</v>
      </c>
      <c r="AK3" s="615" t="e">
        <f t="shared" si="6"/>
        <v>#DIV/0!</v>
      </c>
      <c r="AL3" s="615" t="e">
        <f t="shared" si="7"/>
        <v>#DIV/0!</v>
      </c>
      <c r="AM3" s="615" t="e">
        <f t="shared" si="8"/>
        <v>#DIV/0!</v>
      </c>
      <c r="AN3" s="615" t="e">
        <f t="shared" si="9"/>
        <v>#DIV/0!</v>
      </c>
      <c r="AO3" s="615" t="e">
        <f t="shared" si="10"/>
        <v>#DIV/0!</v>
      </c>
      <c r="AP3" s="627">
        <f t="shared" ref="AP3:AT18" si="27">AP2</f>
        <v>1650</v>
      </c>
      <c r="AQ3" s="627">
        <f t="shared" si="27"/>
        <v>19160</v>
      </c>
      <c r="AR3" s="627">
        <f t="shared" si="27"/>
        <v>36239</v>
      </c>
      <c r="AS3" s="627">
        <f t="shared" si="27"/>
        <v>1298</v>
      </c>
      <c r="AT3" s="627">
        <f t="shared" si="27"/>
        <v>4200</v>
      </c>
      <c r="AU3" s="627">
        <f t="shared" si="11"/>
        <v>0</v>
      </c>
      <c r="AV3" s="627">
        <f t="shared" si="12"/>
        <v>0</v>
      </c>
      <c r="AW3" s="627">
        <f t="shared" si="13"/>
        <v>0</v>
      </c>
      <c r="AX3" s="627">
        <f t="shared" si="14"/>
        <v>0</v>
      </c>
      <c r="AY3" s="627">
        <f t="shared" si="15"/>
        <v>0</v>
      </c>
      <c r="AZ3" s="627">
        <f t="shared" si="16"/>
        <v>0</v>
      </c>
      <c r="BA3" s="655">
        <v>1000</v>
      </c>
      <c r="BB3" s="658" t="e">
        <f>+Tabla2[[#This Row],[COSTO QUIMICA ]]/Tabla2[[#This Row],[VOLUMEN ENVIADO A RO (m3)]]</f>
        <v>#DIV/0!</v>
      </c>
    </row>
    <row r="4" spans="1:59" thickBot="1" x14ac:dyDescent="0.3">
      <c r="A4" s="647">
        <f>+A3</f>
        <v>46113</v>
      </c>
      <c r="B4" s="648">
        <f>DAY(Tabla2[[#This Row],[FECHA]])</f>
        <v>1</v>
      </c>
      <c r="C4" s="649" t="s">
        <v>30</v>
      </c>
      <c r="D4" s="115"/>
      <c r="E4" s="115"/>
      <c r="F4" s="115"/>
      <c r="G4" s="115"/>
      <c r="H4" s="115"/>
      <c r="I4" s="650" t="e">
        <f>Tabla2[[#This Row],[VOLUMEN ENVIADO A RO (m3)]]/Tabla2[[#This Row],[Q DE OPERACIÓN (m3/h)]]</f>
        <v>#DIV/0!</v>
      </c>
      <c r="J4" s="124">
        <v>0</v>
      </c>
      <c r="K4" s="184">
        <v>0</v>
      </c>
      <c r="L4" s="184">
        <v>0</v>
      </c>
      <c r="M4" s="184">
        <v>0</v>
      </c>
      <c r="N4" s="184">
        <v>0</v>
      </c>
      <c r="O4" s="184">
        <v>0</v>
      </c>
      <c r="P4" s="184">
        <v>0</v>
      </c>
      <c r="Q4" s="124">
        <f t="shared" si="0"/>
        <v>0</v>
      </c>
      <c r="R4" s="124">
        <f t="shared" si="1"/>
        <v>0</v>
      </c>
      <c r="S4" s="124">
        <f t="shared" si="2"/>
        <v>0</v>
      </c>
      <c r="T4" s="124">
        <f t="shared" si="3"/>
        <v>0</v>
      </c>
      <c r="U4" s="124">
        <f t="shared" si="4"/>
        <v>0</v>
      </c>
      <c r="V4" s="124">
        <f t="shared" si="17"/>
        <v>0</v>
      </c>
      <c r="W4" s="124">
        <f t="shared" si="18"/>
        <v>0</v>
      </c>
      <c r="X4" s="124">
        <f t="shared" si="19"/>
        <v>0</v>
      </c>
      <c r="Y4" s="124">
        <f t="shared" si="20"/>
        <v>0</v>
      </c>
      <c r="Z4" s="124">
        <f t="shared" si="21"/>
        <v>0</v>
      </c>
      <c r="AA4" s="651">
        <v>1.18</v>
      </c>
      <c r="AB4" s="651">
        <v>1.28</v>
      </c>
      <c r="AC4" s="651">
        <v>1.2</v>
      </c>
      <c r="AD4" s="651">
        <v>1.53</v>
      </c>
      <c r="AE4" s="651">
        <v>1.2</v>
      </c>
      <c r="AF4" s="124">
        <f t="shared" si="22"/>
        <v>0</v>
      </c>
      <c r="AG4" s="124">
        <f t="shared" si="23"/>
        <v>0</v>
      </c>
      <c r="AH4" s="124">
        <f t="shared" si="24"/>
        <v>0</v>
      </c>
      <c r="AI4" s="124">
        <f t="shared" si="25"/>
        <v>0</v>
      </c>
      <c r="AJ4" s="124">
        <f t="shared" si="26"/>
        <v>0</v>
      </c>
      <c r="AK4" s="652" t="e">
        <f t="shared" si="6"/>
        <v>#DIV/0!</v>
      </c>
      <c r="AL4" s="652" t="e">
        <f t="shared" si="7"/>
        <v>#DIV/0!</v>
      </c>
      <c r="AM4" s="652" t="e">
        <f t="shared" si="8"/>
        <v>#DIV/0!</v>
      </c>
      <c r="AN4" s="652" t="e">
        <f t="shared" si="9"/>
        <v>#DIV/0!</v>
      </c>
      <c r="AO4" s="652" t="e">
        <f t="shared" si="10"/>
        <v>#DIV/0!</v>
      </c>
      <c r="AP4" s="653">
        <f t="shared" si="27"/>
        <v>1650</v>
      </c>
      <c r="AQ4" s="653">
        <f t="shared" si="27"/>
        <v>19160</v>
      </c>
      <c r="AR4" s="653">
        <f t="shared" si="27"/>
        <v>36239</v>
      </c>
      <c r="AS4" s="653">
        <f t="shared" si="27"/>
        <v>1298</v>
      </c>
      <c r="AT4" s="653">
        <f t="shared" si="27"/>
        <v>4200</v>
      </c>
      <c r="AU4" s="653">
        <f t="shared" si="11"/>
        <v>0</v>
      </c>
      <c r="AV4" s="653">
        <f t="shared" si="12"/>
        <v>0</v>
      </c>
      <c r="AW4" s="653">
        <f t="shared" si="13"/>
        <v>0</v>
      </c>
      <c r="AX4" s="653">
        <f t="shared" si="14"/>
        <v>0</v>
      </c>
      <c r="AY4" s="653">
        <f t="shared" si="15"/>
        <v>0</v>
      </c>
      <c r="AZ4" s="653">
        <f t="shared" si="16"/>
        <v>0</v>
      </c>
      <c r="BA4" s="656">
        <v>1000</v>
      </c>
      <c r="BB4" s="659" t="e">
        <f>+Tabla2[[#This Row],[COSTO QUIMICA ]]/Tabla2[[#This Row],[VOLUMEN ENVIADO A RO (m3)]]</f>
        <v>#DIV/0!</v>
      </c>
      <c r="BD4" s="199"/>
      <c r="BF4" s="200"/>
      <c r="BG4" s="199"/>
    </row>
    <row r="5" spans="1:59" ht="14.25" x14ac:dyDescent="0.25">
      <c r="A5" s="640">
        <f>+A4+1</f>
        <v>46114</v>
      </c>
      <c r="B5" s="641">
        <f>DAY(Tabla2[[#This Row],[FECHA]])</f>
        <v>2</v>
      </c>
      <c r="C5" s="642" t="s">
        <v>28</v>
      </c>
      <c r="D5" s="117"/>
      <c r="E5" s="117"/>
      <c r="F5" s="117"/>
      <c r="G5" s="117"/>
      <c r="H5" s="117"/>
      <c r="I5" s="643" t="e">
        <f>Tabla2[[#This Row],[VOLUMEN ENVIADO A RO (m3)]]/Tabla2[[#This Row],[Q DE OPERACIÓN (m3/h)]]</f>
        <v>#DIV/0!</v>
      </c>
      <c r="J5" s="125">
        <v>0</v>
      </c>
      <c r="K5" s="182">
        <v>0</v>
      </c>
      <c r="L5" s="182">
        <v>0</v>
      </c>
      <c r="M5" s="182">
        <v>0</v>
      </c>
      <c r="N5" s="182">
        <v>0</v>
      </c>
      <c r="O5" s="182">
        <v>0</v>
      </c>
      <c r="P5" s="182">
        <v>0</v>
      </c>
      <c r="Q5" s="125">
        <f t="shared" si="0"/>
        <v>0</v>
      </c>
      <c r="R5" s="125">
        <f t="shared" si="1"/>
        <v>0</v>
      </c>
      <c r="S5" s="125">
        <f t="shared" si="2"/>
        <v>0</v>
      </c>
      <c r="T5" s="125">
        <f t="shared" si="3"/>
        <v>0</v>
      </c>
      <c r="U5" s="125">
        <f t="shared" si="4"/>
        <v>0</v>
      </c>
      <c r="V5" s="125">
        <f t="shared" si="17"/>
        <v>0</v>
      </c>
      <c r="W5" s="125">
        <f t="shared" si="18"/>
        <v>0</v>
      </c>
      <c r="X5" s="125">
        <f t="shared" si="19"/>
        <v>0</v>
      </c>
      <c r="Y5" s="125">
        <f t="shared" si="20"/>
        <v>0</v>
      </c>
      <c r="Z5" s="125">
        <f t="shared" si="21"/>
        <v>0</v>
      </c>
      <c r="AA5" s="644">
        <v>1.18</v>
      </c>
      <c r="AB5" s="644">
        <v>1.28</v>
      </c>
      <c r="AC5" s="644">
        <v>1.2</v>
      </c>
      <c r="AD5" s="644">
        <v>1.53</v>
      </c>
      <c r="AE5" s="644">
        <v>1.2</v>
      </c>
      <c r="AF5" s="125">
        <f t="shared" si="22"/>
        <v>0</v>
      </c>
      <c r="AG5" s="125">
        <f t="shared" si="23"/>
        <v>0</v>
      </c>
      <c r="AH5" s="125">
        <f t="shared" si="24"/>
        <v>0</v>
      </c>
      <c r="AI5" s="125">
        <f t="shared" si="25"/>
        <v>0</v>
      </c>
      <c r="AJ5" s="125">
        <f t="shared" si="26"/>
        <v>0</v>
      </c>
      <c r="AK5" s="617" t="e">
        <f t="shared" si="6"/>
        <v>#DIV/0!</v>
      </c>
      <c r="AL5" s="617" t="e">
        <f t="shared" si="7"/>
        <v>#DIV/0!</v>
      </c>
      <c r="AM5" s="617" t="e">
        <f t="shared" si="8"/>
        <v>#DIV/0!</v>
      </c>
      <c r="AN5" s="617" t="e">
        <f t="shared" si="9"/>
        <v>#DIV/0!</v>
      </c>
      <c r="AO5" s="617" t="e">
        <f t="shared" si="10"/>
        <v>#DIV/0!</v>
      </c>
      <c r="AP5" s="645">
        <f t="shared" si="27"/>
        <v>1650</v>
      </c>
      <c r="AQ5" s="645">
        <f t="shared" si="27"/>
        <v>19160</v>
      </c>
      <c r="AR5" s="645">
        <f t="shared" si="27"/>
        <v>36239</v>
      </c>
      <c r="AS5" s="645">
        <f t="shared" si="27"/>
        <v>1298</v>
      </c>
      <c r="AT5" s="645">
        <f t="shared" si="27"/>
        <v>4200</v>
      </c>
      <c r="AU5" s="645">
        <f t="shared" si="11"/>
        <v>0</v>
      </c>
      <c r="AV5" s="645">
        <f t="shared" si="12"/>
        <v>0</v>
      </c>
      <c r="AW5" s="645">
        <f t="shared" si="13"/>
        <v>0</v>
      </c>
      <c r="AX5" s="645">
        <f t="shared" si="14"/>
        <v>0</v>
      </c>
      <c r="AY5" s="645">
        <f t="shared" si="15"/>
        <v>0</v>
      </c>
      <c r="AZ5" s="645">
        <f t="shared" si="16"/>
        <v>0</v>
      </c>
      <c r="BA5" s="645">
        <v>1000</v>
      </c>
      <c r="BB5" s="657" t="e">
        <f>+Tabla2[[#This Row],[COSTO QUIMICA ]]/Tabla2[[#This Row],[VOLUMEN ENVIADO A RO (m3)]]</f>
        <v>#DIV/0!</v>
      </c>
      <c r="BD5" s="199"/>
      <c r="BF5" s="200"/>
      <c r="BG5" s="199"/>
    </row>
    <row r="6" spans="1:59" x14ac:dyDescent="0.25">
      <c r="A6" s="646">
        <f>+A5</f>
        <v>46114</v>
      </c>
      <c r="B6" s="610">
        <f>DAY(Tabla2[[#This Row],[FECHA]])</f>
        <v>2</v>
      </c>
      <c r="C6" s="628" t="s">
        <v>29</v>
      </c>
      <c r="D6" s="114"/>
      <c r="E6" s="114"/>
      <c r="F6" s="114"/>
      <c r="G6" s="114"/>
      <c r="H6" s="114"/>
      <c r="I6" s="625" t="e">
        <f>Tabla2[[#This Row],[VOLUMEN ENVIADO A RO (m3)]]/Tabla2[[#This Row],[Q DE OPERACIÓN (m3/h)]]</f>
        <v>#DIV/0!</v>
      </c>
      <c r="J6" s="123">
        <v>0</v>
      </c>
      <c r="K6" s="183">
        <v>0</v>
      </c>
      <c r="L6" s="183">
        <v>0</v>
      </c>
      <c r="M6" s="183">
        <v>0</v>
      </c>
      <c r="N6" s="183">
        <v>0</v>
      </c>
      <c r="O6" s="183">
        <v>0</v>
      </c>
      <c r="P6" s="183">
        <v>0</v>
      </c>
      <c r="Q6" s="123">
        <f t="shared" si="0"/>
        <v>0</v>
      </c>
      <c r="R6" s="123">
        <f t="shared" si="1"/>
        <v>0</v>
      </c>
      <c r="S6" s="123">
        <f t="shared" si="2"/>
        <v>0</v>
      </c>
      <c r="T6" s="123">
        <f t="shared" si="3"/>
        <v>0</v>
      </c>
      <c r="U6" s="123">
        <f t="shared" si="4"/>
        <v>0</v>
      </c>
      <c r="V6" s="123">
        <f t="shared" si="17"/>
        <v>0</v>
      </c>
      <c r="W6" s="123">
        <f t="shared" si="18"/>
        <v>0</v>
      </c>
      <c r="X6" s="123">
        <f t="shared" si="19"/>
        <v>0</v>
      </c>
      <c r="Y6" s="123">
        <f t="shared" si="20"/>
        <v>0</v>
      </c>
      <c r="Z6" s="123">
        <f t="shared" si="21"/>
        <v>0</v>
      </c>
      <c r="AA6" s="626">
        <v>1.18</v>
      </c>
      <c r="AB6" s="626">
        <v>1.28</v>
      </c>
      <c r="AC6" s="626">
        <v>1.2</v>
      </c>
      <c r="AD6" s="626">
        <v>1.53</v>
      </c>
      <c r="AE6" s="626">
        <v>1.2</v>
      </c>
      <c r="AF6" s="123">
        <f t="shared" si="22"/>
        <v>0</v>
      </c>
      <c r="AG6" s="123">
        <f t="shared" si="23"/>
        <v>0</v>
      </c>
      <c r="AH6" s="123">
        <f t="shared" si="24"/>
        <v>0</v>
      </c>
      <c r="AI6" s="123">
        <f t="shared" si="25"/>
        <v>0</v>
      </c>
      <c r="AJ6" s="123">
        <f t="shared" si="26"/>
        <v>0</v>
      </c>
      <c r="AK6" s="615" t="e">
        <f t="shared" si="6"/>
        <v>#DIV/0!</v>
      </c>
      <c r="AL6" s="615" t="e">
        <f t="shared" si="7"/>
        <v>#DIV/0!</v>
      </c>
      <c r="AM6" s="615" t="e">
        <f t="shared" si="8"/>
        <v>#DIV/0!</v>
      </c>
      <c r="AN6" s="615" t="e">
        <f t="shared" si="9"/>
        <v>#DIV/0!</v>
      </c>
      <c r="AO6" s="615" t="e">
        <f t="shared" si="10"/>
        <v>#DIV/0!</v>
      </c>
      <c r="AP6" s="627">
        <f t="shared" si="27"/>
        <v>1650</v>
      </c>
      <c r="AQ6" s="627">
        <f t="shared" si="27"/>
        <v>19160</v>
      </c>
      <c r="AR6" s="627">
        <f t="shared" si="27"/>
        <v>36239</v>
      </c>
      <c r="AS6" s="627">
        <f t="shared" si="27"/>
        <v>1298</v>
      </c>
      <c r="AT6" s="627">
        <f t="shared" si="27"/>
        <v>4200</v>
      </c>
      <c r="AU6" s="627">
        <f t="shared" si="11"/>
        <v>0</v>
      </c>
      <c r="AV6" s="627">
        <f t="shared" si="12"/>
        <v>0</v>
      </c>
      <c r="AW6" s="627">
        <f t="shared" si="13"/>
        <v>0</v>
      </c>
      <c r="AX6" s="627">
        <f t="shared" si="14"/>
        <v>0</v>
      </c>
      <c r="AY6" s="627">
        <f t="shared" si="15"/>
        <v>0</v>
      </c>
      <c r="AZ6" s="627">
        <f t="shared" si="16"/>
        <v>0</v>
      </c>
      <c r="BA6" s="627">
        <v>1000</v>
      </c>
      <c r="BB6" s="658" t="e">
        <f>+Tabla2[[#This Row],[COSTO QUIMICA ]]/Tabla2[[#This Row],[VOLUMEN ENVIADO A RO (m3)]]</f>
        <v>#DIV/0!</v>
      </c>
      <c r="BD6" s="199"/>
      <c r="BF6" s="200"/>
      <c r="BG6" s="199"/>
    </row>
    <row r="7" spans="1:59" thickBot="1" x14ac:dyDescent="0.3">
      <c r="A7" s="647">
        <f>+A6</f>
        <v>46114</v>
      </c>
      <c r="B7" s="648">
        <f>DAY(Tabla2[[#This Row],[FECHA]])</f>
        <v>2</v>
      </c>
      <c r="C7" s="649" t="s">
        <v>30</v>
      </c>
      <c r="D7" s="115"/>
      <c r="E7" s="115"/>
      <c r="F7" s="115"/>
      <c r="G7" s="115"/>
      <c r="H7" s="115"/>
      <c r="I7" s="650" t="e">
        <f>Tabla2[[#This Row],[VOLUMEN ENVIADO A RO (m3)]]/Tabla2[[#This Row],[Q DE OPERACIÓN (m3/h)]]</f>
        <v>#DIV/0!</v>
      </c>
      <c r="J7" s="124">
        <v>0</v>
      </c>
      <c r="K7" s="184">
        <v>0</v>
      </c>
      <c r="L7" s="184">
        <v>0</v>
      </c>
      <c r="M7" s="184">
        <v>0</v>
      </c>
      <c r="N7" s="184">
        <v>0</v>
      </c>
      <c r="O7" s="184">
        <v>0</v>
      </c>
      <c r="P7" s="184">
        <v>0</v>
      </c>
      <c r="Q7" s="124">
        <f t="shared" si="0"/>
        <v>0</v>
      </c>
      <c r="R7" s="124">
        <f t="shared" si="1"/>
        <v>0</v>
      </c>
      <c r="S7" s="124">
        <f t="shared" si="2"/>
        <v>0</v>
      </c>
      <c r="T7" s="124">
        <f t="shared" si="3"/>
        <v>0</v>
      </c>
      <c r="U7" s="124">
        <f t="shared" si="4"/>
        <v>0</v>
      </c>
      <c r="V7" s="124">
        <f t="shared" si="17"/>
        <v>0</v>
      </c>
      <c r="W7" s="124">
        <f t="shared" si="18"/>
        <v>0</v>
      </c>
      <c r="X7" s="124">
        <f t="shared" si="19"/>
        <v>0</v>
      </c>
      <c r="Y7" s="124">
        <f t="shared" si="20"/>
        <v>0</v>
      </c>
      <c r="Z7" s="124">
        <f t="shared" si="21"/>
        <v>0</v>
      </c>
      <c r="AA7" s="651">
        <v>1.18</v>
      </c>
      <c r="AB7" s="651">
        <v>1.28</v>
      </c>
      <c r="AC7" s="651">
        <v>1.2</v>
      </c>
      <c r="AD7" s="651">
        <v>1.53</v>
      </c>
      <c r="AE7" s="651">
        <v>1.2</v>
      </c>
      <c r="AF7" s="124">
        <f t="shared" si="22"/>
        <v>0</v>
      </c>
      <c r="AG7" s="124">
        <f t="shared" si="23"/>
        <v>0</v>
      </c>
      <c r="AH7" s="124">
        <f t="shared" si="24"/>
        <v>0</v>
      </c>
      <c r="AI7" s="124">
        <f t="shared" si="25"/>
        <v>0</v>
      </c>
      <c r="AJ7" s="124">
        <f t="shared" si="26"/>
        <v>0</v>
      </c>
      <c r="AK7" s="652" t="e">
        <f t="shared" si="6"/>
        <v>#DIV/0!</v>
      </c>
      <c r="AL7" s="652" t="e">
        <f t="shared" si="7"/>
        <v>#DIV/0!</v>
      </c>
      <c r="AM7" s="652" t="e">
        <f t="shared" si="8"/>
        <v>#DIV/0!</v>
      </c>
      <c r="AN7" s="652" t="e">
        <f t="shared" si="9"/>
        <v>#DIV/0!</v>
      </c>
      <c r="AO7" s="652" t="e">
        <f t="shared" si="10"/>
        <v>#DIV/0!</v>
      </c>
      <c r="AP7" s="653">
        <f t="shared" si="27"/>
        <v>1650</v>
      </c>
      <c r="AQ7" s="653">
        <f t="shared" si="27"/>
        <v>19160</v>
      </c>
      <c r="AR7" s="653">
        <f t="shared" si="27"/>
        <v>36239</v>
      </c>
      <c r="AS7" s="653">
        <f t="shared" si="27"/>
        <v>1298</v>
      </c>
      <c r="AT7" s="653">
        <f t="shared" si="27"/>
        <v>4200</v>
      </c>
      <c r="AU7" s="653">
        <f t="shared" si="11"/>
        <v>0</v>
      </c>
      <c r="AV7" s="653">
        <f t="shared" si="12"/>
        <v>0</v>
      </c>
      <c r="AW7" s="653">
        <f t="shared" si="13"/>
        <v>0</v>
      </c>
      <c r="AX7" s="653">
        <f t="shared" si="14"/>
        <v>0</v>
      </c>
      <c r="AY7" s="653">
        <f t="shared" si="15"/>
        <v>0</v>
      </c>
      <c r="AZ7" s="653">
        <f t="shared" si="16"/>
        <v>0</v>
      </c>
      <c r="BA7" s="653">
        <v>1000</v>
      </c>
      <c r="BB7" s="659" t="e">
        <f>+Tabla2[[#This Row],[COSTO QUIMICA ]]/Tabla2[[#This Row],[VOLUMEN ENVIADO A RO (m3)]]</f>
        <v>#DIV/0!</v>
      </c>
      <c r="BD7" s="199"/>
      <c r="BF7" s="200"/>
      <c r="BG7" s="199"/>
    </row>
    <row r="8" spans="1:59" ht="14.25" x14ac:dyDescent="0.25">
      <c r="A8" s="640">
        <f>+A7+1</f>
        <v>46115</v>
      </c>
      <c r="B8" s="641">
        <f>DAY(Tabla2[[#This Row],[FECHA]])</f>
        <v>3</v>
      </c>
      <c r="C8" s="642" t="s">
        <v>28</v>
      </c>
      <c r="D8" s="117"/>
      <c r="E8" s="117"/>
      <c r="F8" s="117"/>
      <c r="G8" s="117"/>
      <c r="H8" s="117"/>
      <c r="I8" s="643" t="e">
        <f>Tabla2[[#This Row],[VOLUMEN ENVIADO A RO (m3)]]/Tabla2[[#This Row],[Q DE OPERACIÓN (m3/h)]]</f>
        <v>#DIV/0!</v>
      </c>
      <c r="J8" s="125">
        <v>0</v>
      </c>
      <c r="K8" s="182">
        <v>0</v>
      </c>
      <c r="L8" s="182">
        <v>0</v>
      </c>
      <c r="M8" s="182">
        <v>0</v>
      </c>
      <c r="N8" s="182">
        <v>0</v>
      </c>
      <c r="O8" s="182">
        <v>0</v>
      </c>
      <c r="P8" s="182">
        <v>0</v>
      </c>
      <c r="Q8" s="125">
        <f t="shared" si="0"/>
        <v>0</v>
      </c>
      <c r="R8" s="125">
        <f t="shared" si="1"/>
        <v>0</v>
      </c>
      <c r="S8" s="125">
        <f t="shared" si="2"/>
        <v>0</v>
      </c>
      <c r="T8" s="125">
        <f t="shared" si="3"/>
        <v>0</v>
      </c>
      <c r="U8" s="125">
        <f t="shared" si="4"/>
        <v>0</v>
      </c>
      <c r="V8" s="125">
        <f t="shared" si="17"/>
        <v>0</v>
      </c>
      <c r="W8" s="125">
        <f t="shared" si="18"/>
        <v>0</v>
      </c>
      <c r="X8" s="125">
        <f t="shared" si="19"/>
        <v>0</v>
      </c>
      <c r="Y8" s="125">
        <f t="shared" si="20"/>
        <v>0</v>
      </c>
      <c r="Z8" s="125">
        <f t="shared" si="21"/>
        <v>0</v>
      </c>
      <c r="AA8" s="644">
        <v>1.18</v>
      </c>
      <c r="AB8" s="644">
        <v>1.28</v>
      </c>
      <c r="AC8" s="644">
        <v>1.2</v>
      </c>
      <c r="AD8" s="644">
        <v>1.53</v>
      </c>
      <c r="AE8" s="644">
        <v>1.2</v>
      </c>
      <c r="AF8" s="125">
        <f t="shared" si="22"/>
        <v>0</v>
      </c>
      <c r="AG8" s="125">
        <f t="shared" si="23"/>
        <v>0</v>
      </c>
      <c r="AH8" s="125">
        <f t="shared" si="24"/>
        <v>0</v>
      </c>
      <c r="AI8" s="125">
        <f t="shared" si="25"/>
        <v>0</v>
      </c>
      <c r="AJ8" s="125">
        <f t="shared" si="26"/>
        <v>0</v>
      </c>
      <c r="AK8" s="617" t="e">
        <f t="shared" si="6"/>
        <v>#DIV/0!</v>
      </c>
      <c r="AL8" s="617" t="e">
        <f t="shared" si="7"/>
        <v>#DIV/0!</v>
      </c>
      <c r="AM8" s="617" t="e">
        <f t="shared" si="8"/>
        <v>#DIV/0!</v>
      </c>
      <c r="AN8" s="617" t="e">
        <f t="shared" si="9"/>
        <v>#DIV/0!</v>
      </c>
      <c r="AO8" s="617" t="e">
        <f t="shared" si="10"/>
        <v>#DIV/0!</v>
      </c>
      <c r="AP8" s="645">
        <f t="shared" si="27"/>
        <v>1650</v>
      </c>
      <c r="AQ8" s="645">
        <f t="shared" si="27"/>
        <v>19160</v>
      </c>
      <c r="AR8" s="645">
        <f t="shared" si="27"/>
        <v>36239</v>
      </c>
      <c r="AS8" s="645">
        <f t="shared" si="27"/>
        <v>1298</v>
      </c>
      <c r="AT8" s="645">
        <f t="shared" si="27"/>
        <v>4200</v>
      </c>
      <c r="AU8" s="645">
        <f t="shared" si="11"/>
        <v>0</v>
      </c>
      <c r="AV8" s="645">
        <f t="shared" si="12"/>
        <v>0</v>
      </c>
      <c r="AW8" s="645">
        <f t="shared" si="13"/>
        <v>0</v>
      </c>
      <c r="AX8" s="645">
        <f t="shared" si="14"/>
        <v>0</v>
      </c>
      <c r="AY8" s="645">
        <f t="shared" si="15"/>
        <v>0</v>
      </c>
      <c r="AZ8" s="645">
        <f t="shared" si="16"/>
        <v>0</v>
      </c>
      <c r="BA8" s="645">
        <v>1000</v>
      </c>
      <c r="BB8" s="657" t="e">
        <f>+Tabla2[[#This Row],[COSTO QUIMICA ]]/Tabla2[[#This Row],[VOLUMEN ENVIADO A RO (m3)]]</f>
        <v>#DIV/0!</v>
      </c>
      <c r="BD8" s="199"/>
      <c r="BF8" s="200"/>
      <c r="BG8" s="199"/>
    </row>
    <row r="9" spans="1:59" x14ac:dyDescent="0.25">
      <c r="A9" s="646">
        <f>+A8</f>
        <v>46115</v>
      </c>
      <c r="B9" s="610">
        <f>DAY(Tabla2[[#This Row],[FECHA]])</f>
        <v>3</v>
      </c>
      <c r="C9" s="628" t="s">
        <v>29</v>
      </c>
      <c r="D9" s="114"/>
      <c r="E9" s="114"/>
      <c r="F9" s="114"/>
      <c r="G9" s="114"/>
      <c r="H9" s="114"/>
      <c r="I9" s="625" t="e">
        <f>Tabla2[[#This Row],[VOLUMEN ENVIADO A RO (m3)]]/Tabla2[[#This Row],[Q DE OPERACIÓN (m3/h)]]</f>
        <v>#DIV/0!</v>
      </c>
      <c r="J9" s="123">
        <v>0</v>
      </c>
      <c r="K9" s="183">
        <v>0</v>
      </c>
      <c r="L9" s="183">
        <v>0</v>
      </c>
      <c r="M9" s="183">
        <v>0</v>
      </c>
      <c r="N9" s="183">
        <v>0</v>
      </c>
      <c r="O9" s="183">
        <v>0</v>
      </c>
      <c r="P9" s="183">
        <v>0</v>
      </c>
      <c r="Q9" s="123">
        <f t="shared" si="0"/>
        <v>0</v>
      </c>
      <c r="R9" s="123">
        <f t="shared" si="1"/>
        <v>0</v>
      </c>
      <c r="S9" s="123">
        <f t="shared" si="2"/>
        <v>0</v>
      </c>
      <c r="T9" s="123">
        <f t="shared" si="3"/>
        <v>0</v>
      </c>
      <c r="U9" s="123">
        <f t="shared" si="4"/>
        <v>0</v>
      </c>
      <c r="V9" s="123">
        <f t="shared" si="17"/>
        <v>0</v>
      </c>
      <c r="W9" s="123">
        <f t="shared" si="18"/>
        <v>0</v>
      </c>
      <c r="X9" s="123">
        <f t="shared" si="19"/>
        <v>0</v>
      </c>
      <c r="Y9" s="123">
        <f t="shared" si="20"/>
        <v>0</v>
      </c>
      <c r="Z9" s="123">
        <f t="shared" si="21"/>
        <v>0</v>
      </c>
      <c r="AA9" s="626">
        <v>1.18</v>
      </c>
      <c r="AB9" s="626">
        <v>1.28</v>
      </c>
      <c r="AC9" s="626">
        <v>1.2</v>
      </c>
      <c r="AD9" s="626">
        <v>1.53</v>
      </c>
      <c r="AE9" s="626">
        <v>1.2</v>
      </c>
      <c r="AF9" s="123">
        <f t="shared" si="22"/>
        <v>0</v>
      </c>
      <c r="AG9" s="123">
        <f t="shared" si="23"/>
        <v>0</v>
      </c>
      <c r="AH9" s="123">
        <f t="shared" si="24"/>
        <v>0</v>
      </c>
      <c r="AI9" s="123">
        <f t="shared" si="25"/>
        <v>0</v>
      </c>
      <c r="AJ9" s="123">
        <f t="shared" si="26"/>
        <v>0</v>
      </c>
      <c r="AK9" s="615" t="e">
        <f t="shared" si="6"/>
        <v>#DIV/0!</v>
      </c>
      <c r="AL9" s="615" t="e">
        <f t="shared" si="7"/>
        <v>#DIV/0!</v>
      </c>
      <c r="AM9" s="615" t="e">
        <f t="shared" si="8"/>
        <v>#DIV/0!</v>
      </c>
      <c r="AN9" s="615" t="e">
        <f t="shared" si="9"/>
        <v>#DIV/0!</v>
      </c>
      <c r="AO9" s="615" t="e">
        <f t="shared" si="10"/>
        <v>#DIV/0!</v>
      </c>
      <c r="AP9" s="627">
        <f t="shared" si="27"/>
        <v>1650</v>
      </c>
      <c r="AQ9" s="627">
        <f t="shared" si="27"/>
        <v>19160</v>
      </c>
      <c r="AR9" s="627">
        <f t="shared" si="27"/>
        <v>36239</v>
      </c>
      <c r="AS9" s="627">
        <f t="shared" si="27"/>
        <v>1298</v>
      </c>
      <c r="AT9" s="627">
        <f t="shared" si="27"/>
        <v>4200</v>
      </c>
      <c r="AU9" s="627">
        <f t="shared" si="11"/>
        <v>0</v>
      </c>
      <c r="AV9" s="627">
        <f t="shared" si="12"/>
        <v>0</v>
      </c>
      <c r="AW9" s="627">
        <f t="shared" si="13"/>
        <v>0</v>
      </c>
      <c r="AX9" s="627">
        <f t="shared" si="14"/>
        <v>0</v>
      </c>
      <c r="AY9" s="627">
        <f t="shared" si="15"/>
        <v>0</v>
      </c>
      <c r="AZ9" s="627">
        <f t="shared" si="16"/>
        <v>0</v>
      </c>
      <c r="BA9" s="627">
        <v>1000</v>
      </c>
      <c r="BB9" s="658" t="e">
        <f>+Tabla2[[#This Row],[COSTO QUIMICA ]]/Tabla2[[#This Row],[VOLUMEN ENVIADO A RO (m3)]]</f>
        <v>#DIV/0!</v>
      </c>
      <c r="BD9" s="199"/>
      <c r="BF9" s="200"/>
      <c r="BG9" s="199"/>
    </row>
    <row r="10" spans="1:59" thickBot="1" x14ac:dyDescent="0.3">
      <c r="A10" s="647">
        <f>+A9</f>
        <v>46115</v>
      </c>
      <c r="B10" s="648">
        <f>DAY(Tabla2[[#This Row],[FECHA]])</f>
        <v>3</v>
      </c>
      <c r="C10" s="649" t="s">
        <v>30</v>
      </c>
      <c r="D10" s="115"/>
      <c r="E10" s="115"/>
      <c r="F10" s="115"/>
      <c r="G10" s="115"/>
      <c r="H10" s="115"/>
      <c r="I10" s="650" t="e">
        <f>Tabla2[[#This Row],[VOLUMEN ENVIADO A RO (m3)]]/Tabla2[[#This Row],[Q DE OPERACIÓN (m3/h)]]</f>
        <v>#DIV/0!</v>
      </c>
      <c r="J10" s="124">
        <v>0</v>
      </c>
      <c r="K10" s="184">
        <v>0</v>
      </c>
      <c r="L10" s="184">
        <v>0</v>
      </c>
      <c r="M10" s="184">
        <v>0</v>
      </c>
      <c r="N10" s="184">
        <v>0</v>
      </c>
      <c r="O10" s="184">
        <v>0</v>
      </c>
      <c r="P10" s="184">
        <v>0</v>
      </c>
      <c r="Q10" s="124">
        <f t="shared" si="0"/>
        <v>0</v>
      </c>
      <c r="R10" s="124">
        <f t="shared" si="1"/>
        <v>0</v>
      </c>
      <c r="S10" s="124">
        <f t="shared" si="2"/>
        <v>0</v>
      </c>
      <c r="T10" s="124">
        <f t="shared" si="3"/>
        <v>0</v>
      </c>
      <c r="U10" s="124">
        <f t="shared" si="4"/>
        <v>0</v>
      </c>
      <c r="V10" s="124">
        <f t="shared" si="17"/>
        <v>0</v>
      </c>
      <c r="W10" s="124">
        <f t="shared" si="18"/>
        <v>0</v>
      </c>
      <c r="X10" s="124">
        <f t="shared" si="19"/>
        <v>0</v>
      </c>
      <c r="Y10" s="124">
        <f t="shared" si="20"/>
        <v>0</v>
      </c>
      <c r="Z10" s="124">
        <f t="shared" si="21"/>
        <v>0</v>
      </c>
      <c r="AA10" s="651">
        <v>1.18</v>
      </c>
      <c r="AB10" s="651">
        <v>1.28</v>
      </c>
      <c r="AC10" s="651">
        <v>1.2</v>
      </c>
      <c r="AD10" s="651">
        <v>1.53</v>
      </c>
      <c r="AE10" s="651">
        <v>1.2</v>
      </c>
      <c r="AF10" s="124">
        <f t="shared" si="22"/>
        <v>0</v>
      </c>
      <c r="AG10" s="124">
        <f t="shared" si="23"/>
        <v>0</v>
      </c>
      <c r="AH10" s="124">
        <f t="shared" si="24"/>
        <v>0</v>
      </c>
      <c r="AI10" s="124">
        <f t="shared" si="25"/>
        <v>0</v>
      </c>
      <c r="AJ10" s="124">
        <f t="shared" si="26"/>
        <v>0</v>
      </c>
      <c r="AK10" s="652" t="e">
        <f t="shared" si="6"/>
        <v>#DIV/0!</v>
      </c>
      <c r="AL10" s="652" t="e">
        <f t="shared" si="7"/>
        <v>#DIV/0!</v>
      </c>
      <c r="AM10" s="652" t="e">
        <f t="shared" si="8"/>
        <v>#DIV/0!</v>
      </c>
      <c r="AN10" s="652" t="e">
        <f t="shared" si="9"/>
        <v>#DIV/0!</v>
      </c>
      <c r="AO10" s="652" t="e">
        <f t="shared" si="10"/>
        <v>#DIV/0!</v>
      </c>
      <c r="AP10" s="653">
        <f t="shared" si="27"/>
        <v>1650</v>
      </c>
      <c r="AQ10" s="653">
        <f t="shared" si="27"/>
        <v>19160</v>
      </c>
      <c r="AR10" s="653">
        <f t="shared" si="27"/>
        <v>36239</v>
      </c>
      <c r="AS10" s="653">
        <f t="shared" si="27"/>
        <v>1298</v>
      </c>
      <c r="AT10" s="653">
        <f t="shared" si="27"/>
        <v>4200</v>
      </c>
      <c r="AU10" s="653">
        <f t="shared" si="11"/>
        <v>0</v>
      </c>
      <c r="AV10" s="653">
        <f t="shared" si="12"/>
        <v>0</v>
      </c>
      <c r="AW10" s="653">
        <f t="shared" si="13"/>
        <v>0</v>
      </c>
      <c r="AX10" s="653">
        <f t="shared" si="14"/>
        <v>0</v>
      </c>
      <c r="AY10" s="653">
        <f t="shared" si="15"/>
        <v>0</v>
      </c>
      <c r="AZ10" s="653">
        <f t="shared" si="16"/>
        <v>0</v>
      </c>
      <c r="BA10" s="653">
        <v>1000</v>
      </c>
      <c r="BB10" s="659" t="e">
        <f>+Tabla2[[#This Row],[COSTO QUIMICA ]]/Tabla2[[#This Row],[VOLUMEN ENVIADO A RO (m3)]]</f>
        <v>#DIV/0!</v>
      </c>
      <c r="BD10" s="199"/>
      <c r="BF10" s="200"/>
      <c r="BG10" s="199"/>
    </row>
    <row r="11" spans="1:59" ht="14.25" x14ac:dyDescent="0.25">
      <c r="A11" s="640">
        <f>+A10+1</f>
        <v>46116</v>
      </c>
      <c r="B11" s="641">
        <f>DAY(Tabla2[[#This Row],[FECHA]])</f>
        <v>4</v>
      </c>
      <c r="C11" s="642" t="s">
        <v>28</v>
      </c>
      <c r="D11" s="117"/>
      <c r="E11" s="117"/>
      <c r="F11" s="117"/>
      <c r="G11" s="117"/>
      <c r="H11" s="117"/>
      <c r="I11" s="643" t="e">
        <f>Tabla2[[#This Row],[VOLUMEN ENVIADO A RO (m3)]]/Tabla2[[#This Row],[Q DE OPERACIÓN (m3/h)]]</f>
        <v>#DIV/0!</v>
      </c>
      <c r="J11" s="125">
        <v>0</v>
      </c>
      <c r="K11" s="182">
        <v>0</v>
      </c>
      <c r="L11" s="182">
        <v>0</v>
      </c>
      <c r="M11" s="182">
        <v>0</v>
      </c>
      <c r="N11" s="182">
        <v>0</v>
      </c>
      <c r="O11" s="182">
        <v>0</v>
      </c>
      <c r="P11" s="182">
        <v>0</v>
      </c>
      <c r="Q11" s="125">
        <f t="shared" si="0"/>
        <v>0</v>
      </c>
      <c r="R11" s="125">
        <f t="shared" si="1"/>
        <v>0</v>
      </c>
      <c r="S11" s="125">
        <f t="shared" si="2"/>
        <v>0</v>
      </c>
      <c r="T11" s="125">
        <f t="shared" si="3"/>
        <v>0</v>
      </c>
      <c r="U11" s="125">
        <f t="shared" si="4"/>
        <v>0</v>
      </c>
      <c r="V11" s="125">
        <f t="shared" si="17"/>
        <v>0</v>
      </c>
      <c r="W11" s="125">
        <f t="shared" si="18"/>
        <v>0</v>
      </c>
      <c r="X11" s="125">
        <f t="shared" si="19"/>
        <v>0</v>
      </c>
      <c r="Y11" s="125">
        <f t="shared" si="20"/>
        <v>0</v>
      </c>
      <c r="Z11" s="125">
        <f t="shared" si="21"/>
        <v>0</v>
      </c>
      <c r="AA11" s="644">
        <v>1.18</v>
      </c>
      <c r="AB11" s="644">
        <v>1.28</v>
      </c>
      <c r="AC11" s="644">
        <v>1.2</v>
      </c>
      <c r="AD11" s="644">
        <v>1.53</v>
      </c>
      <c r="AE11" s="644">
        <v>1.2</v>
      </c>
      <c r="AF11" s="125">
        <f t="shared" si="22"/>
        <v>0</v>
      </c>
      <c r="AG11" s="125">
        <f t="shared" si="23"/>
        <v>0</v>
      </c>
      <c r="AH11" s="125">
        <f t="shared" si="24"/>
        <v>0</v>
      </c>
      <c r="AI11" s="125">
        <f t="shared" si="25"/>
        <v>0</v>
      </c>
      <c r="AJ11" s="125">
        <f t="shared" si="26"/>
        <v>0</v>
      </c>
      <c r="AK11" s="617" t="e">
        <f t="shared" si="6"/>
        <v>#DIV/0!</v>
      </c>
      <c r="AL11" s="617" t="e">
        <f t="shared" si="7"/>
        <v>#DIV/0!</v>
      </c>
      <c r="AM11" s="617" t="e">
        <f t="shared" si="8"/>
        <v>#DIV/0!</v>
      </c>
      <c r="AN11" s="617" t="e">
        <f t="shared" si="9"/>
        <v>#DIV/0!</v>
      </c>
      <c r="AO11" s="617" t="e">
        <f t="shared" si="10"/>
        <v>#DIV/0!</v>
      </c>
      <c r="AP11" s="645">
        <f t="shared" si="27"/>
        <v>1650</v>
      </c>
      <c r="AQ11" s="645">
        <f t="shared" si="27"/>
        <v>19160</v>
      </c>
      <c r="AR11" s="645">
        <f t="shared" si="27"/>
        <v>36239</v>
      </c>
      <c r="AS11" s="645">
        <f t="shared" si="27"/>
        <v>1298</v>
      </c>
      <c r="AT11" s="645">
        <f t="shared" si="27"/>
        <v>4200</v>
      </c>
      <c r="AU11" s="645">
        <f t="shared" si="11"/>
        <v>0</v>
      </c>
      <c r="AV11" s="645">
        <f t="shared" si="12"/>
        <v>0</v>
      </c>
      <c r="AW11" s="645">
        <f t="shared" si="13"/>
        <v>0</v>
      </c>
      <c r="AX11" s="645">
        <f t="shared" si="14"/>
        <v>0</v>
      </c>
      <c r="AY11" s="645">
        <f t="shared" si="15"/>
        <v>0</v>
      </c>
      <c r="AZ11" s="645">
        <f t="shared" si="16"/>
        <v>0</v>
      </c>
      <c r="BA11" s="645">
        <v>1000</v>
      </c>
      <c r="BB11" s="657" t="e">
        <f>+Tabla2[[#This Row],[COSTO QUIMICA ]]/Tabla2[[#This Row],[VOLUMEN ENVIADO A RO (m3)]]</f>
        <v>#DIV/0!</v>
      </c>
      <c r="BD11" s="199"/>
      <c r="BF11" s="200"/>
      <c r="BG11" s="199"/>
    </row>
    <row r="12" spans="1:59" x14ac:dyDescent="0.25">
      <c r="A12" s="646">
        <f>+A11</f>
        <v>46116</v>
      </c>
      <c r="B12" s="610">
        <f>DAY(Tabla2[[#This Row],[FECHA]])</f>
        <v>4</v>
      </c>
      <c r="C12" s="628" t="s">
        <v>29</v>
      </c>
      <c r="D12" s="114"/>
      <c r="E12" s="114"/>
      <c r="F12" s="114"/>
      <c r="G12" s="114"/>
      <c r="H12" s="114"/>
      <c r="I12" s="625" t="e">
        <f>Tabla2[[#This Row],[VOLUMEN ENVIADO A RO (m3)]]/Tabla2[[#This Row],[Q DE OPERACIÓN (m3/h)]]</f>
        <v>#DIV/0!</v>
      </c>
      <c r="J12" s="123">
        <v>0</v>
      </c>
      <c r="K12" s="183">
        <v>0</v>
      </c>
      <c r="L12" s="183">
        <v>0</v>
      </c>
      <c r="M12" s="183">
        <v>0</v>
      </c>
      <c r="N12" s="183">
        <v>0</v>
      </c>
      <c r="O12" s="183">
        <v>0</v>
      </c>
      <c r="P12" s="183">
        <v>0</v>
      </c>
      <c r="Q12" s="123">
        <f t="shared" si="0"/>
        <v>0</v>
      </c>
      <c r="R12" s="123">
        <f t="shared" si="1"/>
        <v>0</v>
      </c>
      <c r="S12" s="123">
        <f t="shared" si="2"/>
        <v>0</v>
      </c>
      <c r="T12" s="123">
        <f t="shared" si="3"/>
        <v>0</v>
      </c>
      <c r="U12" s="123">
        <f t="shared" si="4"/>
        <v>0</v>
      </c>
      <c r="V12" s="123">
        <f t="shared" si="17"/>
        <v>0</v>
      </c>
      <c r="W12" s="123">
        <f t="shared" si="18"/>
        <v>0</v>
      </c>
      <c r="X12" s="123">
        <f t="shared" si="19"/>
        <v>0</v>
      </c>
      <c r="Y12" s="123">
        <f t="shared" si="20"/>
        <v>0</v>
      </c>
      <c r="Z12" s="123">
        <f t="shared" si="21"/>
        <v>0</v>
      </c>
      <c r="AA12" s="626">
        <v>1.18</v>
      </c>
      <c r="AB12" s="626">
        <v>1.28</v>
      </c>
      <c r="AC12" s="626">
        <v>1.2</v>
      </c>
      <c r="AD12" s="626">
        <v>1.53</v>
      </c>
      <c r="AE12" s="626">
        <v>1.2</v>
      </c>
      <c r="AF12" s="123">
        <f t="shared" si="22"/>
        <v>0</v>
      </c>
      <c r="AG12" s="123">
        <f t="shared" si="23"/>
        <v>0</v>
      </c>
      <c r="AH12" s="123">
        <f t="shared" si="24"/>
        <v>0</v>
      </c>
      <c r="AI12" s="123">
        <f t="shared" si="25"/>
        <v>0</v>
      </c>
      <c r="AJ12" s="123">
        <f t="shared" si="26"/>
        <v>0</v>
      </c>
      <c r="AK12" s="615" t="e">
        <f t="shared" si="6"/>
        <v>#DIV/0!</v>
      </c>
      <c r="AL12" s="615" t="e">
        <f t="shared" si="7"/>
        <v>#DIV/0!</v>
      </c>
      <c r="AM12" s="615" t="e">
        <f t="shared" si="8"/>
        <v>#DIV/0!</v>
      </c>
      <c r="AN12" s="615" t="e">
        <f t="shared" si="9"/>
        <v>#DIV/0!</v>
      </c>
      <c r="AO12" s="615" t="e">
        <f t="shared" si="10"/>
        <v>#DIV/0!</v>
      </c>
      <c r="AP12" s="627">
        <f t="shared" si="27"/>
        <v>1650</v>
      </c>
      <c r="AQ12" s="627">
        <f t="shared" si="27"/>
        <v>19160</v>
      </c>
      <c r="AR12" s="627">
        <f t="shared" si="27"/>
        <v>36239</v>
      </c>
      <c r="AS12" s="627">
        <f t="shared" si="27"/>
        <v>1298</v>
      </c>
      <c r="AT12" s="627">
        <f t="shared" si="27"/>
        <v>4200</v>
      </c>
      <c r="AU12" s="627">
        <f t="shared" si="11"/>
        <v>0</v>
      </c>
      <c r="AV12" s="627">
        <f t="shared" si="12"/>
        <v>0</v>
      </c>
      <c r="AW12" s="627">
        <f t="shared" si="13"/>
        <v>0</v>
      </c>
      <c r="AX12" s="627">
        <f t="shared" si="14"/>
        <v>0</v>
      </c>
      <c r="AY12" s="627">
        <f t="shared" si="15"/>
        <v>0</v>
      </c>
      <c r="AZ12" s="627">
        <f t="shared" si="16"/>
        <v>0</v>
      </c>
      <c r="BA12" s="627">
        <v>1000</v>
      </c>
      <c r="BB12" s="658" t="e">
        <f>+Tabla2[[#This Row],[COSTO QUIMICA ]]/Tabla2[[#This Row],[VOLUMEN ENVIADO A RO (m3)]]</f>
        <v>#DIV/0!</v>
      </c>
      <c r="BD12" s="199"/>
      <c r="BF12" s="200"/>
      <c r="BG12" s="199"/>
    </row>
    <row r="13" spans="1:59" thickBot="1" x14ac:dyDescent="0.3">
      <c r="A13" s="647">
        <f>+A12</f>
        <v>46116</v>
      </c>
      <c r="B13" s="648">
        <f>DAY(Tabla2[[#This Row],[FECHA]])</f>
        <v>4</v>
      </c>
      <c r="C13" s="649" t="s">
        <v>30</v>
      </c>
      <c r="D13" s="115"/>
      <c r="E13" s="115"/>
      <c r="F13" s="115"/>
      <c r="G13" s="115"/>
      <c r="H13" s="115"/>
      <c r="I13" s="650" t="e">
        <f>Tabla2[[#This Row],[VOLUMEN ENVIADO A RO (m3)]]/Tabla2[[#This Row],[Q DE OPERACIÓN (m3/h)]]</f>
        <v>#DIV/0!</v>
      </c>
      <c r="J13" s="124">
        <v>0</v>
      </c>
      <c r="K13" s="184">
        <v>0</v>
      </c>
      <c r="L13" s="184">
        <v>0</v>
      </c>
      <c r="M13" s="184">
        <v>0</v>
      </c>
      <c r="N13" s="184">
        <v>0</v>
      </c>
      <c r="O13" s="184">
        <v>0</v>
      </c>
      <c r="P13" s="184">
        <v>0</v>
      </c>
      <c r="Q13" s="124">
        <f t="shared" si="0"/>
        <v>0</v>
      </c>
      <c r="R13" s="124">
        <f t="shared" si="1"/>
        <v>0</v>
      </c>
      <c r="S13" s="124">
        <f t="shared" si="2"/>
        <v>0</v>
      </c>
      <c r="T13" s="124">
        <f t="shared" si="3"/>
        <v>0</v>
      </c>
      <c r="U13" s="124">
        <f t="shared" si="4"/>
        <v>0</v>
      </c>
      <c r="V13" s="124">
        <f t="shared" si="17"/>
        <v>0</v>
      </c>
      <c r="W13" s="124">
        <f t="shared" si="18"/>
        <v>0</v>
      </c>
      <c r="X13" s="124">
        <f t="shared" si="19"/>
        <v>0</v>
      </c>
      <c r="Y13" s="124">
        <f t="shared" si="20"/>
        <v>0</v>
      </c>
      <c r="Z13" s="124">
        <f t="shared" si="21"/>
        <v>0</v>
      </c>
      <c r="AA13" s="651">
        <v>1.18</v>
      </c>
      <c r="AB13" s="651">
        <v>1.28</v>
      </c>
      <c r="AC13" s="651">
        <v>1.2</v>
      </c>
      <c r="AD13" s="651">
        <v>1.53</v>
      </c>
      <c r="AE13" s="651">
        <v>1.2</v>
      </c>
      <c r="AF13" s="124">
        <f t="shared" si="22"/>
        <v>0</v>
      </c>
      <c r="AG13" s="124">
        <f t="shared" si="23"/>
        <v>0</v>
      </c>
      <c r="AH13" s="124">
        <f t="shared" si="24"/>
        <v>0</v>
      </c>
      <c r="AI13" s="124">
        <f t="shared" si="25"/>
        <v>0</v>
      </c>
      <c r="AJ13" s="124">
        <f t="shared" si="26"/>
        <v>0</v>
      </c>
      <c r="AK13" s="652" t="e">
        <f t="shared" si="6"/>
        <v>#DIV/0!</v>
      </c>
      <c r="AL13" s="652" t="e">
        <f t="shared" si="7"/>
        <v>#DIV/0!</v>
      </c>
      <c r="AM13" s="652" t="e">
        <f t="shared" si="8"/>
        <v>#DIV/0!</v>
      </c>
      <c r="AN13" s="652" t="e">
        <f t="shared" si="9"/>
        <v>#DIV/0!</v>
      </c>
      <c r="AO13" s="652" t="e">
        <f t="shared" si="10"/>
        <v>#DIV/0!</v>
      </c>
      <c r="AP13" s="653">
        <f t="shared" si="27"/>
        <v>1650</v>
      </c>
      <c r="AQ13" s="653">
        <f t="shared" si="27"/>
        <v>19160</v>
      </c>
      <c r="AR13" s="653">
        <f t="shared" si="27"/>
        <v>36239</v>
      </c>
      <c r="AS13" s="653">
        <f t="shared" si="27"/>
        <v>1298</v>
      </c>
      <c r="AT13" s="653">
        <f t="shared" si="27"/>
        <v>4200</v>
      </c>
      <c r="AU13" s="653">
        <f t="shared" si="11"/>
        <v>0</v>
      </c>
      <c r="AV13" s="653">
        <f t="shared" si="12"/>
        <v>0</v>
      </c>
      <c r="AW13" s="653">
        <f t="shared" si="13"/>
        <v>0</v>
      </c>
      <c r="AX13" s="653">
        <f t="shared" si="14"/>
        <v>0</v>
      </c>
      <c r="AY13" s="653">
        <f t="shared" si="15"/>
        <v>0</v>
      </c>
      <c r="AZ13" s="653">
        <f t="shared" si="16"/>
        <v>0</v>
      </c>
      <c r="BA13" s="653">
        <v>1000</v>
      </c>
      <c r="BB13" s="659" t="e">
        <f>+Tabla2[[#This Row],[COSTO QUIMICA ]]/Tabla2[[#This Row],[VOLUMEN ENVIADO A RO (m3)]]</f>
        <v>#DIV/0!</v>
      </c>
      <c r="BD13" s="199"/>
      <c r="BF13" s="200"/>
      <c r="BG13" s="199"/>
    </row>
    <row r="14" spans="1:59" ht="14.25" x14ac:dyDescent="0.25">
      <c r="A14" s="640">
        <f>+A13+1</f>
        <v>46117</v>
      </c>
      <c r="B14" s="641">
        <f>DAY(Tabla2[[#This Row],[FECHA]])</f>
        <v>5</v>
      </c>
      <c r="C14" s="642" t="s">
        <v>28</v>
      </c>
      <c r="D14" s="117"/>
      <c r="E14" s="117"/>
      <c r="F14" s="117"/>
      <c r="G14" s="117"/>
      <c r="H14" s="117"/>
      <c r="I14" s="643" t="e">
        <f>Tabla2[[#This Row],[VOLUMEN ENVIADO A RO (m3)]]/Tabla2[[#This Row],[Q DE OPERACIÓN (m3/h)]]</f>
        <v>#DIV/0!</v>
      </c>
      <c r="J14" s="125">
        <v>0</v>
      </c>
      <c r="K14" s="182">
        <v>0</v>
      </c>
      <c r="L14" s="182">
        <v>0</v>
      </c>
      <c r="M14" s="182">
        <v>0</v>
      </c>
      <c r="N14" s="182">
        <v>0</v>
      </c>
      <c r="O14" s="182">
        <v>0</v>
      </c>
      <c r="P14" s="182">
        <v>0</v>
      </c>
      <c r="Q14" s="125">
        <f t="shared" si="0"/>
        <v>0</v>
      </c>
      <c r="R14" s="125">
        <f t="shared" si="1"/>
        <v>0</v>
      </c>
      <c r="S14" s="125">
        <f t="shared" si="2"/>
        <v>0</v>
      </c>
      <c r="T14" s="125">
        <f t="shared" si="3"/>
        <v>0</v>
      </c>
      <c r="U14" s="125">
        <f t="shared" si="4"/>
        <v>0</v>
      </c>
      <c r="V14" s="125">
        <f t="shared" si="17"/>
        <v>0</v>
      </c>
      <c r="W14" s="125">
        <f t="shared" si="18"/>
        <v>0</v>
      </c>
      <c r="X14" s="125">
        <f t="shared" si="19"/>
        <v>0</v>
      </c>
      <c r="Y14" s="125">
        <f t="shared" si="20"/>
        <v>0</v>
      </c>
      <c r="Z14" s="125">
        <f t="shared" si="21"/>
        <v>0</v>
      </c>
      <c r="AA14" s="644">
        <v>1.18</v>
      </c>
      <c r="AB14" s="644">
        <v>1.28</v>
      </c>
      <c r="AC14" s="644">
        <v>1.2</v>
      </c>
      <c r="AD14" s="644">
        <v>1.53</v>
      </c>
      <c r="AE14" s="644">
        <v>1.2</v>
      </c>
      <c r="AF14" s="125">
        <f t="shared" si="22"/>
        <v>0</v>
      </c>
      <c r="AG14" s="125">
        <f t="shared" si="23"/>
        <v>0</v>
      </c>
      <c r="AH14" s="125">
        <f t="shared" si="24"/>
        <v>0</v>
      </c>
      <c r="AI14" s="125">
        <f t="shared" si="25"/>
        <v>0</v>
      </c>
      <c r="AJ14" s="125">
        <f t="shared" si="26"/>
        <v>0</v>
      </c>
      <c r="AK14" s="617" t="e">
        <f t="shared" si="6"/>
        <v>#DIV/0!</v>
      </c>
      <c r="AL14" s="617" t="e">
        <f t="shared" si="7"/>
        <v>#DIV/0!</v>
      </c>
      <c r="AM14" s="617" t="e">
        <f t="shared" si="8"/>
        <v>#DIV/0!</v>
      </c>
      <c r="AN14" s="617" t="e">
        <f t="shared" si="9"/>
        <v>#DIV/0!</v>
      </c>
      <c r="AO14" s="617" t="e">
        <f t="shared" si="10"/>
        <v>#DIV/0!</v>
      </c>
      <c r="AP14" s="645">
        <f t="shared" si="27"/>
        <v>1650</v>
      </c>
      <c r="AQ14" s="645">
        <f t="shared" si="27"/>
        <v>19160</v>
      </c>
      <c r="AR14" s="645">
        <f t="shared" si="27"/>
        <v>36239</v>
      </c>
      <c r="AS14" s="645">
        <f t="shared" si="27"/>
        <v>1298</v>
      </c>
      <c r="AT14" s="645">
        <f t="shared" si="27"/>
        <v>4200</v>
      </c>
      <c r="AU14" s="645">
        <f t="shared" si="11"/>
        <v>0</v>
      </c>
      <c r="AV14" s="645">
        <f t="shared" si="12"/>
        <v>0</v>
      </c>
      <c r="AW14" s="645">
        <f t="shared" si="13"/>
        <v>0</v>
      </c>
      <c r="AX14" s="645">
        <f t="shared" si="14"/>
        <v>0</v>
      </c>
      <c r="AY14" s="645">
        <f t="shared" si="15"/>
        <v>0</v>
      </c>
      <c r="AZ14" s="645">
        <f t="shared" si="16"/>
        <v>0</v>
      </c>
      <c r="BA14" s="645">
        <v>1000</v>
      </c>
      <c r="BB14" s="657" t="e">
        <f>+Tabla2[[#This Row],[COSTO QUIMICA ]]/Tabla2[[#This Row],[VOLUMEN ENVIADO A RO (m3)]]</f>
        <v>#DIV/0!</v>
      </c>
      <c r="BD14" s="199"/>
      <c r="BF14" s="200"/>
      <c r="BG14" s="199"/>
    </row>
    <row r="15" spans="1:59" x14ac:dyDescent="0.25">
      <c r="A15" s="646">
        <f>+A14</f>
        <v>46117</v>
      </c>
      <c r="B15" s="610">
        <f>DAY(Tabla2[[#This Row],[FECHA]])</f>
        <v>5</v>
      </c>
      <c r="C15" s="628" t="s">
        <v>29</v>
      </c>
      <c r="D15" s="114"/>
      <c r="E15" s="114"/>
      <c r="F15" s="114"/>
      <c r="G15" s="114"/>
      <c r="H15" s="114"/>
      <c r="I15" s="625" t="e">
        <f>Tabla2[[#This Row],[VOLUMEN ENVIADO A RO (m3)]]/Tabla2[[#This Row],[Q DE OPERACIÓN (m3/h)]]</f>
        <v>#DIV/0!</v>
      </c>
      <c r="J15" s="12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0</v>
      </c>
      <c r="P15" s="183">
        <v>0</v>
      </c>
      <c r="Q15" s="123">
        <f t="shared" si="0"/>
        <v>0</v>
      </c>
      <c r="R15" s="123">
        <f t="shared" si="1"/>
        <v>0</v>
      </c>
      <c r="S15" s="123">
        <f t="shared" si="2"/>
        <v>0</v>
      </c>
      <c r="T15" s="123">
        <f t="shared" si="3"/>
        <v>0</v>
      </c>
      <c r="U15" s="123">
        <f t="shared" si="4"/>
        <v>0</v>
      </c>
      <c r="V15" s="123">
        <f t="shared" si="17"/>
        <v>0</v>
      </c>
      <c r="W15" s="123">
        <f t="shared" si="18"/>
        <v>0</v>
      </c>
      <c r="X15" s="123">
        <f t="shared" si="19"/>
        <v>0</v>
      </c>
      <c r="Y15" s="123">
        <f t="shared" si="20"/>
        <v>0</v>
      </c>
      <c r="Z15" s="123">
        <f t="shared" si="21"/>
        <v>0</v>
      </c>
      <c r="AA15" s="626">
        <v>1.18</v>
      </c>
      <c r="AB15" s="626">
        <v>1.28</v>
      </c>
      <c r="AC15" s="626">
        <v>1.2</v>
      </c>
      <c r="AD15" s="626">
        <v>1.53</v>
      </c>
      <c r="AE15" s="626">
        <v>1.2</v>
      </c>
      <c r="AF15" s="123">
        <f t="shared" si="22"/>
        <v>0</v>
      </c>
      <c r="AG15" s="123">
        <f t="shared" si="23"/>
        <v>0</v>
      </c>
      <c r="AH15" s="123">
        <f t="shared" si="24"/>
        <v>0</v>
      </c>
      <c r="AI15" s="123">
        <f t="shared" si="25"/>
        <v>0</v>
      </c>
      <c r="AJ15" s="123">
        <f t="shared" si="26"/>
        <v>0</v>
      </c>
      <c r="AK15" s="615" t="e">
        <f t="shared" si="6"/>
        <v>#DIV/0!</v>
      </c>
      <c r="AL15" s="615" t="e">
        <f t="shared" si="7"/>
        <v>#DIV/0!</v>
      </c>
      <c r="AM15" s="615" t="e">
        <f t="shared" si="8"/>
        <v>#DIV/0!</v>
      </c>
      <c r="AN15" s="615" t="e">
        <f t="shared" si="9"/>
        <v>#DIV/0!</v>
      </c>
      <c r="AO15" s="615" t="e">
        <f t="shared" si="10"/>
        <v>#DIV/0!</v>
      </c>
      <c r="AP15" s="627">
        <f t="shared" si="27"/>
        <v>1650</v>
      </c>
      <c r="AQ15" s="627">
        <f t="shared" si="27"/>
        <v>19160</v>
      </c>
      <c r="AR15" s="627">
        <f t="shared" si="27"/>
        <v>36239</v>
      </c>
      <c r="AS15" s="627">
        <f t="shared" si="27"/>
        <v>1298</v>
      </c>
      <c r="AT15" s="627">
        <f t="shared" si="27"/>
        <v>4200</v>
      </c>
      <c r="AU15" s="627">
        <f t="shared" si="11"/>
        <v>0</v>
      </c>
      <c r="AV15" s="627">
        <f t="shared" si="12"/>
        <v>0</v>
      </c>
      <c r="AW15" s="627">
        <f t="shared" si="13"/>
        <v>0</v>
      </c>
      <c r="AX15" s="627">
        <f t="shared" si="14"/>
        <v>0</v>
      </c>
      <c r="AY15" s="627">
        <f t="shared" si="15"/>
        <v>0</v>
      </c>
      <c r="AZ15" s="627">
        <f t="shared" si="16"/>
        <v>0</v>
      </c>
      <c r="BA15" s="627">
        <v>1000</v>
      </c>
      <c r="BB15" s="658" t="e">
        <f>+Tabla2[[#This Row],[COSTO QUIMICA ]]/Tabla2[[#This Row],[VOLUMEN ENVIADO A RO (m3)]]</f>
        <v>#DIV/0!</v>
      </c>
      <c r="BD15" s="199"/>
      <c r="BF15" s="200"/>
      <c r="BG15" s="199"/>
    </row>
    <row r="16" spans="1:59" thickBot="1" x14ac:dyDescent="0.3">
      <c r="A16" s="647">
        <f>+A15</f>
        <v>46117</v>
      </c>
      <c r="B16" s="648">
        <f>DAY(Tabla2[[#This Row],[FECHA]])</f>
        <v>5</v>
      </c>
      <c r="C16" s="649" t="s">
        <v>30</v>
      </c>
      <c r="D16" s="115"/>
      <c r="E16" s="115"/>
      <c r="F16" s="115"/>
      <c r="G16" s="115"/>
      <c r="H16" s="115"/>
      <c r="I16" s="650" t="e">
        <f>Tabla2[[#This Row],[VOLUMEN ENVIADO A RO (m3)]]/Tabla2[[#This Row],[Q DE OPERACIÓN (m3/h)]]</f>
        <v>#DIV/0!</v>
      </c>
      <c r="J16" s="124">
        <v>0</v>
      </c>
      <c r="K16" s="184">
        <v>0</v>
      </c>
      <c r="L16" s="184">
        <v>0</v>
      </c>
      <c r="M16" s="184">
        <v>0</v>
      </c>
      <c r="N16" s="184">
        <v>0</v>
      </c>
      <c r="O16" s="184">
        <v>0</v>
      </c>
      <c r="P16" s="184">
        <v>0</v>
      </c>
      <c r="Q16" s="124">
        <f t="shared" si="0"/>
        <v>0</v>
      </c>
      <c r="R16" s="124">
        <f t="shared" si="1"/>
        <v>0</v>
      </c>
      <c r="S16" s="124">
        <f t="shared" si="2"/>
        <v>0</v>
      </c>
      <c r="T16" s="124">
        <f t="shared" si="3"/>
        <v>0</v>
      </c>
      <c r="U16" s="124">
        <f t="shared" si="4"/>
        <v>0</v>
      </c>
      <c r="V16" s="124">
        <f t="shared" si="17"/>
        <v>0</v>
      </c>
      <c r="W16" s="124">
        <f t="shared" si="18"/>
        <v>0</v>
      </c>
      <c r="X16" s="124">
        <f t="shared" si="19"/>
        <v>0</v>
      </c>
      <c r="Y16" s="124">
        <f t="shared" si="20"/>
        <v>0</v>
      </c>
      <c r="Z16" s="124">
        <f t="shared" si="21"/>
        <v>0</v>
      </c>
      <c r="AA16" s="651">
        <v>1.18</v>
      </c>
      <c r="AB16" s="651">
        <v>1.28</v>
      </c>
      <c r="AC16" s="651">
        <v>1.2</v>
      </c>
      <c r="AD16" s="651">
        <v>1.53</v>
      </c>
      <c r="AE16" s="651">
        <v>1.2</v>
      </c>
      <c r="AF16" s="124">
        <f t="shared" si="22"/>
        <v>0</v>
      </c>
      <c r="AG16" s="124">
        <f t="shared" si="23"/>
        <v>0</v>
      </c>
      <c r="AH16" s="124">
        <f t="shared" si="24"/>
        <v>0</v>
      </c>
      <c r="AI16" s="124">
        <f t="shared" si="25"/>
        <v>0</v>
      </c>
      <c r="AJ16" s="124">
        <f t="shared" si="26"/>
        <v>0</v>
      </c>
      <c r="AK16" s="652" t="e">
        <f t="shared" si="6"/>
        <v>#DIV/0!</v>
      </c>
      <c r="AL16" s="652" t="e">
        <f t="shared" si="7"/>
        <v>#DIV/0!</v>
      </c>
      <c r="AM16" s="652" t="e">
        <f t="shared" si="8"/>
        <v>#DIV/0!</v>
      </c>
      <c r="AN16" s="652" t="e">
        <f t="shared" si="9"/>
        <v>#DIV/0!</v>
      </c>
      <c r="AO16" s="652" t="e">
        <f t="shared" si="10"/>
        <v>#DIV/0!</v>
      </c>
      <c r="AP16" s="653">
        <f t="shared" si="27"/>
        <v>1650</v>
      </c>
      <c r="AQ16" s="653">
        <f t="shared" si="27"/>
        <v>19160</v>
      </c>
      <c r="AR16" s="653">
        <f t="shared" si="27"/>
        <v>36239</v>
      </c>
      <c r="AS16" s="653">
        <f t="shared" si="27"/>
        <v>1298</v>
      </c>
      <c r="AT16" s="653">
        <f t="shared" si="27"/>
        <v>4200</v>
      </c>
      <c r="AU16" s="653">
        <f t="shared" si="11"/>
        <v>0</v>
      </c>
      <c r="AV16" s="653">
        <f t="shared" si="12"/>
        <v>0</v>
      </c>
      <c r="AW16" s="653">
        <f t="shared" si="13"/>
        <v>0</v>
      </c>
      <c r="AX16" s="653">
        <f t="shared" si="14"/>
        <v>0</v>
      </c>
      <c r="AY16" s="653">
        <f t="shared" si="15"/>
        <v>0</v>
      </c>
      <c r="AZ16" s="653">
        <f t="shared" si="16"/>
        <v>0</v>
      </c>
      <c r="BA16" s="653">
        <v>1000</v>
      </c>
      <c r="BB16" s="659" t="e">
        <f>+Tabla2[[#This Row],[COSTO QUIMICA ]]/Tabla2[[#This Row],[VOLUMEN ENVIADO A RO (m3)]]</f>
        <v>#DIV/0!</v>
      </c>
      <c r="BD16" s="199"/>
      <c r="BF16" s="200"/>
      <c r="BG16" s="199"/>
    </row>
    <row r="17" spans="1:59" ht="14.25" x14ac:dyDescent="0.25">
      <c r="A17" s="640">
        <f>+A16+1</f>
        <v>46118</v>
      </c>
      <c r="B17" s="641">
        <f>DAY(Tabla2[[#This Row],[FECHA]])</f>
        <v>6</v>
      </c>
      <c r="C17" s="642" t="s">
        <v>28</v>
      </c>
      <c r="D17" s="117"/>
      <c r="E17" s="117"/>
      <c r="F17" s="117"/>
      <c r="G17" s="117"/>
      <c r="H17" s="117"/>
      <c r="I17" s="660">
        <v>0</v>
      </c>
      <c r="J17" s="125">
        <v>0</v>
      </c>
      <c r="K17" s="182">
        <v>0</v>
      </c>
      <c r="L17" s="182">
        <v>0</v>
      </c>
      <c r="M17" s="182">
        <v>0</v>
      </c>
      <c r="N17" s="182">
        <v>0</v>
      </c>
      <c r="O17" s="182">
        <v>0</v>
      </c>
      <c r="P17" s="182">
        <v>0</v>
      </c>
      <c r="Q17" s="125">
        <f t="shared" si="0"/>
        <v>0</v>
      </c>
      <c r="R17" s="125">
        <f t="shared" si="1"/>
        <v>0</v>
      </c>
      <c r="S17" s="125">
        <f t="shared" si="2"/>
        <v>0</v>
      </c>
      <c r="T17" s="125">
        <f t="shared" si="3"/>
        <v>0</v>
      </c>
      <c r="U17" s="125">
        <f t="shared" si="4"/>
        <v>0</v>
      </c>
      <c r="V17" s="125">
        <f t="shared" si="17"/>
        <v>0</v>
      </c>
      <c r="W17" s="125">
        <f t="shared" si="18"/>
        <v>0</v>
      </c>
      <c r="X17" s="125">
        <f t="shared" si="19"/>
        <v>0</v>
      </c>
      <c r="Y17" s="125">
        <f t="shared" si="20"/>
        <v>0</v>
      </c>
      <c r="Z17" s="125">
        <f t="shared" si="21"/>
        <v>0</v>
      </c>
      <c r="AA17" s="644">
        <v>1.18</v>
      </c>
      <c r="AB17" s="644">
        <v>1.28</v>
      </c>
      <c r="AC17" s="644">
        <v>1.2</v>
      </c>
      <c r="AD17" s="644">
        <v>1.53</v>
      </c>
      <c r="AE17" s="644">
        <v>1.2</v>
      </c>
      <c r="AF17" s="125">
        <f t="shared" si="22"/>
        <v>0</v>
      </c>
      <c r="AG17" s="125">
        <f t="shared" si="23"/>
        <v>0</v>
      </c>
      <c r="AH17" s="125">
        <f t="shared" si="24"/>
        <v>0</v>
      </c>
      <c r="AI17" s="125">
        <f t="shared" si="25"/>
        <v>0</v>
      </c>
      <c r="AJ17" s="125">
        <f t="shared" si="26"/>
        <v>0</v>
      </c>
      <c r="AK17" s="617" t="e">
        <f t="shared" si="6"/>
        <v>#DIV/0!</v>
      </c>
      <c r="AL17" s="617" t="e">
        <f t="shared" si="7"/>
        <v>#DIV/0!</v>
      </c>
      <c r="AM17" s="617" t="e">
        <f t="shared" si="8"/>
        <v>#DIV/0!</v>
      </c>
      <c r="AN17" s="617" t="e">
        <f t="shared" si="9"/>
        <v>#DIV/0!</v>
      </c>
      <c r="AO17" s="617" t="e">
        <f t="shared" si="10"/>
        <v>#DIV/0!</v>
      </c>
      <c r="AP17" s="645">
        <f t="shared" si="27"/>
        <v>1650</v>
      </c>
      <c r="AQ17" s="645">
        <f t="shared" si="27"/>
        <v>19160</v>
      </c>
      <c r="AR17" s="645">
        <f t="shared" si="27"/>
        <v>36239</v>
      </c>
      <c r="AS17" s="645">
        <f t="shared" si="27"/>
        <v>1298</v>
      </c>
      <c r="AT17" s="645">
        <f t="shared" si="27"/>
        <v>4200</v>
      </c>
      <c r="AU17" s="645">
        <f t="shared" si="11"/>
        <v>0</v>
      </c>
      <c r="AV17" s="645">
        <f t="shared" si="12"/>
        <v>0</v>
      </c>
      <c r="AW17" s="645">
        <f t="shared" si="13"/>
        <v>0</v>
      </c>
      <c r="AX17" s="645">
        <f t="shared" si="14"/>
        <v>0</v>
      </c>
      <c r="AY17" s="645">
        <f t="shared" si="15"/>
        <v>0</v>
      </c>
      <c r="AZ17" s="645">
        <f t="shared" si="16"/>
        <v>0</v>
      </c>
      <c r="BA17" s="645">
        <v>1000</v>
      </c>
      <c r="BB17" s="657" t="e">
        <f>+Tabla2[[#This Row],[COSTO QUIMICA ]]/Tabla2[[#This Row],[VOLUMEN ENVIADO A RO (m3)]]</f>
        <v>#DIV/0!</v>
      </c>
      <c r="BD17" s="199"/>
      <c r="BF17" s="200"/>
      <c r="BG17" s="199"/>
    </row>
    <row r="18" spans="1:59" x14ac:dyDescent="0.25">
      <c r="A18" s="646">
        <f>+A17</f>
        <v>46118</v>
      </c>
      <c r="B18" s="610">
        <f>DAY(Tabla2[[#This Row],[FECHA]])</f>
        <v>6</v>
      </c>
      <c r="C18" s="628" t="s">
        <v>29</v>
      </c>
      <c r="D18" s="114"/>
      <c r="E18" s="114"/>
      <c r="F18" s="114"/>
      <c r="G18" s="114"/>
      <c r="H18" s="114"/>
      <c r="I18" s="625">
        <f>Tabla2[[#This Row],[VOLUMEN ENVIADO A RO (m3)]]/Tabla2[[#This Row],[Q DE OPERACIÓN (m3/h)]]</f>
        <v>2.5106341463414634</v>
      </c>
      <c r="J18" s="123">
        <v>102.93600000000001</v>
      </c>
      <c r="K18" s="183">
        <v>41</v>
      </c>
      <c r="L18" s="183">
        <v>0</v>
      </c>
      <c r="M18" s="183">
        <v>0</v>
      </c>
      <c r="N18" s="183">
        <v>0</v>
      </c>
      <c r="O18" s="183">
        <v>0</v>
      </c>
      <c r="P18" s="183">
        <v>0</v>
      </c>
      <c r="Q18" s="123">
        <f t="shared" si="0"/>
        <v>0</v>
      </c>
      <c r="R18" s="123">
        <f t="shared" si="1"/>
        <v>0</v>
      </c>
      <c r="S18" s="123">
        <f t="shared" si="2"/>
        <v>0</v>
      </c>
      <c r="T18" s="123">
        <f t="shared" si="3"/>
        <v>0</v>
      </c>
      <c r="U18" s="123">
        <f t="shared" si="4"/>
        <v>0</v>
      </c>
      <c r="V18" s="123">
        <f t="shared" si="17"/>
        <v>0</v>
      </c>
      <c r="W18" s="123">
        <f t="shared" si="18"/>
        <v>0</v>
      </c>
      <c r="X18" s="123">
        <f t="shared" si="19"/>
        <v>0</v>
      </c>
      <c r="Y18" s="123">
        <f t="shared" si="20"/>
        <v>0</v>
      </c>
      <c r="Z18" s="123">
        <f t="shared" si="21"/>
        <v>0</v>
      </c>
      <c r="AA18" s="626">
        <v>1.18</v>
      </c>
      <c r="AB18" s="626">
        <v>1.28</v>
      </c>
      <c r="AC18" s="626">
        <v>1.2</v>
      </c>
      <c r="AD18" s="626">
        <v>1.53</v>
      </c>
      <c r="AE18" s="626">
        <v>1.2</v>
      </c>
      <c r="AF18" s="123">
        <f t="shared" si="22"/>
        <v>0</v>
      </c>
      <c r="AG18" s="123">
        <f t="shared" si="23"/>
        <v>0</v>
      </c>
      <c r="AH18" s="123">
        <f t="shared" si="24"/>
        <v>0</v>
      </c>
      <c r="AI18" s="123">
        <f t="shared" si="25"/>
        <v>0</v>
      </c>
      <c r="AJ18" s="123">
        <f t="shared" si="26"/>
        <v>0</v>
      </c>
      <c r="AK18" s="615">
        <f t="shared" si="6"/>
        <v>0</v>
      </c>
      <c r="AL18" s="615">
        <f t="shared" si="7"/>
        <v>0</v>
      </c>
      <c r="AM18" s="615">
        <f t="shared" si="8"/>
        <v>0</v>
      </c>
      <c r="AN18" s="615">
        <f t="shared" si="9"/>
        <v>0</v>
      </c>
      <c r="AO18" s="615">
        <f t="shared" si="10"/>
        <v>0</v>
      </c>
      <c r="AP18" s="627">
        <f t="shared" si="27"/>
        <v>1650</v>
      </c>
      <c r="AQ18" s="627">
        <f t="shared" si="27"/>
        <v>19160</v>
      </c>
      <c r="AR18" s="627">
        <f t="shared" si="27"/>
        <v>36239</v>
      </c>
      <c r="AS18" s="627">
        <f t="shared" si="27"/>
        <v>1298</v>
      </c>
      <c r="AT18" s="627">
        <f t="shared" si="27"/>
        <v>4200</v>
      </c>
      <c r="AU18" s="627">
        <f t="shared" si="11"/>
        <v>0</v>
      </c>
      <c r="AV18" s="627">
        <f t="shared" si="12"/>
        <v>0</v>
      </c>
      <c r="AW18" s="627">
        <f t="shared" si="13"/>
        <v>0</v>
      </c>
      <c r="AX18" s="627">
        <f t="shared" si="14"/>
        <v>0</v>
      </c>
      <c r="AY18" s="627">
        <f t="shared" si="15"/>
        <v>10808.28</v>
      </c>
      <c r="AZ18" s="627">
        <f t="shared" si="16"/>
        <v>10808.28</v>
      </c>
      <c r="BA18" s="627">
        <v>1000</v>
      </c>
      <c r="BB18" s="658">
        <f>+Tabla2[[#This Row],[COSTO QUIMICA ]]/Tabla2[[#This Row],[VOLUMEN ENVIADO A RO (m3)]]</f>
        <v>105</v>
      </c>
      <c r="BD18" s="199"/>
      <c r="BF18" s="200"/>
      <c r="BG18" s="199"/>
    </row>
    <row r="19" spans="1:59" thickBot="1" x14ac:dyDescent="0.3">
      <c r="A19" s="647">
        <f>+A18</f>
        <v>46118</v>
      </c>
      <c r="B19" s="648">
        <f>DAY(Tabla2[[#This Row],[FECHA]])</f>
        <v>6</v>
      </c>
      <c r="C19" s="649" t="s">
        <v>30</v>
      </c>
      <c r="D19" s="115"/>
      <c r="E19" s="115"/>
      <c r="F19" s="115"/>
      <c r="G19" s="115"/>
      <c r="H19" s="115"/>
      <c r="I19" s="650">
        <f>Tabla2[[#This Row],[VOLUMEN ENVIADO A RO (m3)]]/Tabla2[[#This Row],[Q DE OPERACIÓN (m3/h)]]</f>
        <v>6.8009047619047616</v>
      </c>
      <c r="J19" s="124">
        <v>285.63799999999998</v>
      </c>
      <c r="K19" s="184">
        <v>42</v>
      </c>
      <c r="L19" s="184">
        <v>0</v>
      </c>
      <c r="M19" s="184">
        <v>0</v>
      </c>
      <c r="N19" s="184">
        <v>0</v>
      </c>
      <c r="O19" s="184">
        <v>0</v>
      </c>
      <c r="P19" s="184">
        <v>0</v>
      </c>
      <c r="Q19" s="124">
        <f t="shared" si="0"/>
        <v>0</v>
      </c>
      <c r="R19" s="124">
        <f t="shared" si="1"/>
        <v>0</v>
      </c>
      <c r="S19" s="124">
        <f t="shared" si="2"/>
        <v>0</v>
      </c>
      <c r="T19" s="124">
        <f t="shared" si="3"/>
        <v>0</v>
      </c>
      <c r="U19" s="124">
        <f t="shared" si="4"/>
        <v>0</v>
      </c>
      <c r="V19" s="124">
        <f t="shared" si="17"/>
        <v>0</v>
      </c>
      <c r="W19" s="124">
        <f t="shared" si="18"/>
        <v>0</v>
      </c>
      <c r="X19" s="124">
        <f t="shared" si="19"/>
        <v>0</v>
      </c>
      <c r="Y19" s="124">
        <f t="shared" si="20"/>
        <v>0</v>
      </c>
      <c r="Z19" s="124">
        <f t="shared" si="21"/>
        <v>0</v>
      </c>
      <c r="AA19" s="651">
        <v>1.18</v>
      </c>
      <c r="AB19" s="651">
        <v>1.28</v>
      </c>
      <c r="AC19" s="651">
        <v>1.2</v>
      </c>
      <c r="AD19" s="651">
        <v>1.53</v>
      </c>
      <c r="AE19" s="651">
        <v>1.2</v>
      </c>
      <c r="AF19" s="124">
        <f t="shared" si="22"/>
        <v>0</v>
      </c>
      <c r="AG19" s="124">
        <f t="shared" si="23"/>
        <v>0</v>
      </c>
      <c r="AH19" s="124">
        <f t="shared" si="24"/>
        <v>0</v>
      </c>
      <c r="AI19" s="124">
        <f t="shared" si="25"/>
        <v>0</v>
      </c>
      <c r="AJ19" s="124">
        <f t="shared" si="26"/>
        <v>0</v>
      </c>
      <c r="AK19" s="652">
        <f t="shared" si="6"/>
        <v>0</v>
      </c>
      <c r="AL19" s="652">
        <f t="shared" si="7"/>
        <v>0</v>
      </c>
      <c r="AM19" s="652">
        <f t="shared" si="8"/>
        <v>0</v>
      </c>
      <c r="AN19" s="652">
        <f t="shared" si="9"/>
        <v>0</v>
      </c>
      <c r="AO19" s="652">
        <f t="shared" si="10"/>
        <v>0</v>
      </c>
      <c r="AP19" s="653">
        <f t="shared" ref="AP19:AT34" si="28">AP18</f>
        <v>1650</v>
      </c>
      <c r="AQ19" s="653">
        <f t="shared" si="28"/>
        <v>19160</v>
      </c>
      <c r="AR19" s="653">
        <f t="shared" si="28"/>
        <v>36239</v>
      </c>
      <c r="AS19" s="653">
        <f t="shared" si="28"/>
        <v>1298</v>
      </c>
      <c r="AT19" s="653">
        <f t="shared" si="28"/>
        <v>4200</v>
      </c>
      <c r="AU19" s="653">
        <f t="shared" si="11"/>
        <v>0</v>
      </c>
      <c r="AV19" s="653">
        <f t="shared" si="12"/>
        <v>0</v>
      </c>
      <c r="AW19" s="653">
        <f t="shared" si="13"/>
        <v>0</v>
      </c>
      <c r="AX19" s="653">
        <f t="shared" si="14"/>
        <v>0</v>
      </c>
      <c r="AY19" s="653">
        <f t="shared" si="15"/>
        <v>29991.99</v>
      </c>
      <c r="AZ19" s="653">
        <f t="shared" si="16"/>
        <v>29991.99</v>
      </c>
      <c r="BA19" s="653">
        <v>1000</v>
      </c>
      <c r="BB19" s="659">
        <f>+Tabla2[[#This Row],[COSTO QUIMICA ]]/Tabla2[[#This Row],[VOLUMEN ENVIADO A RO (m3)]]</f>
        <v>105.00000000000001</v>
      </c>
      <c r="BD19" s="199"/>
      <c r="BF19" s="200"/>
      <c r="BG19" s="199"/>
    </row>
    <row r="20" spans="1:59" ht="14.25" x14ac:dyDescent="0.25">
      <c r="A20" s="640">
        <f>+A19+1</f>
        <v>46119</v>
      </c>
      <c r="B20" s="641">
        <f>DAY(Tabla2[[#This Row],[FECHA]])</f>
        <v>7</v>
      </c>
      <c r="C20" s="642" t="s">
        <v>28</v>
      </c>
      <c r="D20" s="117"/>
      <c r="E20" s="117"/>
      <c r="F20" s="117"/>
      <c r="G20" s="117"/>
      <c r="H20" s="117"/>
      <c r="I20" s="643">
        <f>Tabla2[[#This Row],[VOLUMEN ENVIADO A RO (m3)]]/Tabla2[[#This Row],[Q DE OPERACIÓN (m3/h)]]</f>
        <v>8.2798292682926835</v>
      </c>
      <c r="J20" s="125">
        <v>339.47300000000001</v>
      </c>
      <c r="K20" s="182">
        <v>41</v>
      </c>
      <c r="L20" s="182">
        <v>0</v>
      </c>
      <c r="M20" s="182">
        <v>0</v>
      </c>
      <c r="N20" s="182">
        <v>0</v>
      </c>
      <c r="O20" s="182">
        <v>0</v>
      </c>
      <c r="P20" s="182">
        <v>0</v>
      </c>
      <c r="Q20" s="125">
        <f t="shared" si="0"/>
        <v>0</v>
      </c>
      <c r="R20" s="125">
        <f t="shared" si="1"/>
        <v>0</v>
      </c>
      <c r="S20" s="125">
        <f t="shared" si="2"/>
        <v>0</v>
      </c>
      <c r="T20" s="125">
        <f t="shared" si="3"/>
        <v>0</v>
      </c>
      <c r="U20" s="125">
        <f t="shared" si="4"/>
        <v>0</v>
      </c>
      <c r="V20" s="125">
        <f t="shared" si="17"/>
        <v>0</v>
      </c>
      <c r="W20" s="125">
        <f t="shared" si="18"/>
        <v>0</v>
      </c>
      <c r="X20" s="125">
        <f t="shared" si="19"/>
        <v>0</v>
      </c>
      <c r="Y20" s="125">
        <f t="shared" si="20"/>
        <v>0</v>
      </c>
      <c r="Z20" s="125">
        <f t="shared" si="21"/>
        <v>0</v>
      </c>
      <c r="AA20" s="644">
        <v>1.18</v>
      </c>
      <c r="AB20" s="644">
        <v>1.28</v>
      </c>
      <c r="AC20" s="644">
        <v>1.2</v>
      </c>
      <c r="AD20" s="644">
        <v>1.53</v>
      </c>
      <c r="AE20" s="644">
        <v>1.2</v>
      </c>
      <c r="AF20" s="125">
        <f t="shared" si="22"/>
        <v>0</v>
      </c>
      <c r="AG20" s="125">
        <f t="shared" si="23"/>
        <v>0</v>
      </c>
      <c r="AH20" s="125">
        <f t="shared" si="24"/>
        <v>0</v>
      </c>
      <c r="AI20" s="125">
        <f t="shared" si="25"/>
        <v>0</v>
      </c>
      <c r="AJ20" s="125">
        <f t="shared" si="26"/>
        <v>0</v>
      </c>
      <c r="AK20" s="617">
        <f t="shared" si="6"/>
        <v>0</v>
      </c>
      <c r="AL20" s="617">
        <f t="shared" si="7"/>
        <v>0</v>
      </c>
      <c r="AM20" s="617">
        <f t="shared" si="8"/>
        <v>0</v>
      </c>
      <c r="AN20" s="617">
        <f t="shared" si="9"/>
        <v>0</v>
      </c>
      <c r="AO20" s="617">
        <f t="shared" si="10"/>
        <v>0</v>
      </c>
      <c r="AP20" s="645">
        <f t="shared" si="28"/>
        <v>1650</v>
      </c>
      <c r="AQ20" s="645">
        <f t="shared" si="28"/>
        <v>19160</v>
      </c>
      <c r="AR20" s="645">
        <f t="shared" si="28"/>
        <v>36239</v>
      </c>
      <c r="AS20" s="645">
        <f t="shared" si="28"/>
        <v>1298</v>
      </c>
      <c r="AT20" s="645">
        <f t="shared" si="28"/>
        <v>4200</v>
      </c>
      <c r="AU20" s="645">
        <f t="shared" si="11"/>
        <v>0</v>
      </c>
      <c r="AV20" s="645">
        <f t="shared" si="12"/>
        <v>0</v>
      </c>
      <c r="AW20" s="645">
        <f t="shared" si="13"/>
        <v>0</v>
      </c>
      <c r="AX20" s="645">
        <f t="shared" si="14"/>
        <v>0</v>
      </c>
      <c r="AY20" s="645">
        <f t="shared" si="15"/>
        <v>35644.665000000008</v>
      </c>
      <c r="AZ20" s="645">
        <f t="shared" si="16"/>
        <v>35644.665000000008</v>
      </c>
      <c r="BA20" s="645">
        <v>1000</v>
      </c>
      <c r="BB20" s="657">
        <f>+Tabla2[[#This Row],[COSTO QUIMICA ]]/Tabla2[[#This Row],[VOLUMEN ENVIADO A RO (m3)]]</f>
        <v>105.00000000000001</v>
      </c>
      <c r="BD20" s="199"/>
      <c r="BF20" s="200"/>
      <c r="BG20" s="199"/>
    </row>
    <row r="21" spans="1:59" x14ac:dyDescent="0.25">
      <c r="A21" s="646">
        <f>+A20</f>
        <v>46119</v>
      </c>
      <c r="B21" s="610">
        <f>DAY(Tabla2[[#This Row],[FECHA]])</f>
        <v>7</v>
      </c>
      <c r="C21" s="628" t="s">
        <v>29</v>
      </c>
      <c r="D21" s="114"/>
      <c r="E21" s="114"/>
      <c r="F21" s="114"/>
      <c r="G21" s="114"/>
      <c r="H21" s="114"/>
      <c r="I21" s="625">
        <f>Tabla2[[#This Row],[VOLUMEN ENVIADO A RO (m3)]]/Tabla2[[#This Row],[Q DE OPERACIÓN (m3/h)]]</f>
        <v>8.4659000000000013</v>
      </c>
      <c r="J21" s="123">
        <v>338.63600000000002</v>
      </c>
      <c r="K21" s="183">
        <v>40</v>
      </c>
      <c r="L21" s="183">
        <v>0</v>
      </c>
      <c r="M21" s="183">
        <v>0</v>
      </c>
      <c r="N21" s="183">
        <v>0</v>
      </c>
      <c r="O21" s="183">
        <v>0</v>
      </c>
      <c r="P21" s="183">
        <v>0</v>
      </c>
      <c r="Q21" s="123">
        <f t="shared" si="0"/>
        <v>0</v>
      </c>
      <c r="R21" s="123">
        <f t="shared" si="1"/>
        <v>0</v>
      </c>
      <c r="S21" s="123">
        <f t="shared" si="2"/>
        <v>0</v>
      </c>
      <c r="T21" s="123">
        <f t="shared" si="3"/>
        <v>0</v>
      </c>
      <c r="U21" s="123">
        <f t="shared" si="4"/>
        <v>0</v>
      </c>
      <c r="V21" s="123">
        <f t="shared" si="17"/>
        <v>0</v>
      </c>
      <c r="W21" s="123">
        <f t="shared" si="18"/>
        <v>0</v>
      </c>
      <c r="X21" s="123">
        <f t="shared" si="19"/>
        <v>0</v>
      </c>
      <c r="Y21" s="123">
        <f t="shared" si="20"/>
        <v>0</v>
      </c>
      <c r="Z21" s="123">
        <f t="shared" si="21"/>
        <v>0</v>
      </c>
      <c r="AA21" s="626">
        <v>1.18</v>
      </c>
      <c r="AB21" s="626">
        <v>1.28</v>
      </c>
      <c r="AC21" s="626">
        <v>1.2</v>
      </c>
      <c r="AD21" s="626">
        <v>1.53</v>
      </c>
      <c r="AE21" s="626">
        <v>1.2</v>
      </c>
      <c r="AF21" s="123">
        <f t="shared" si="22"/>
        <v>0</v>
      </c>
      <c r="AG21" s="123">
        <f t="shared" si="23"/>
        <v>0</v>
      </c>
      <c r="AH21" s="123">
        <f t="shared" si="24"/>
        <v>0</v>
      </c>
      <c r="AI21" s="123">
        <f t="shared" si="25"/>
        <v>0</v>
      </c>
      <c r="AJ21" s="123">
        <f t="shared" si="26"/>
        <v>0</v>
      </c>
      <c r="AK21" s="615">
        <f t="shared" si="6"/>
        <v>0</v>
      </c>
      <c r="AL21" s="615">
        <f t="shared" si="7"/>
        <v>0</v>
      </c>
      <c r="AM21" s="615">
        <f t="shared" si="8"/>
        <v>0</v>
      </c>
      <c r="AN21" s="615">
        <f t="shared" si="9"/>
        <v>0</v>
      </c>
      <c r="AO21" s="615">
        <f t="shared" si="10"/>
        <v>0</v>
      </c>
      <c r="AP21" s="627">
        <f t="shared" si="28"/>
        <v>1650</v>
      </c>
      <c r="AQ21" s="627">
        <f t="shared" si="28"/>
        <v>19160</v>
      </c>
      <c r="AR21" s="627">
        <f t="shared" si="28"/>
        <v>36239</v>
      </c>
      <c r="AS21" s="627">
        <f t="shared" si="28"/>
        <v>1298</v>
      </c>
      <c r="AT21" s="627">
        <f t="shared" si="28"/>
        <v>4200</v>
      </c>
      <c r="AU21" s="627">
        <f t="shared" si="11"/>
        <v>0</v>
      </c>
      <c r="AV21" s="627">
        <f t="shared" si="12"/>
        <v>0</v>
      </c>
      <c r="AW21" s="627">
        <f t="shared" si="13"/>
        <v>0</v>
      </c>
      <c r="AX21" s="627">
        <f t="shared" si="14"/>
        <v>0</v>
      </c>
      <c r="AY21" s="627">
        <f t="shared" si="15"/>
        <v>35556.780000000006</v>
      </c>
      <c r="AZ21" s="627">
        <f t="shared" si="16"/>
        <v>35556.780000000006</v>
      </c>
      <c r="BA21" s="627">
        <v>1000</v>
      </c>
      <c r="BB21" s="658">
        <f>+Tabla2[[#This Row],[COSTO QUIMICA ]]/Tabla2[[#This Row],[VOLUMEN ENVIADO A RO (m3)]]</f>
        <v>105.00000000000001</v>
      </c>
      <c r="BD21" s="199"/>
      <c r="BF21" s="200"/>
      <c r="BG21" s="199"/>
    </row>
    <row r="22" spans="1:59" thickBot="1" x14ac:dyDescent="0.3">
      <c r="A22" s="647">
        <f>+A21</f>
        <v>46119</v>
      </c>
      <c r="B22" s="648">
        <f>DAY(Tabla2[[#This Row],[FECHA]])</f>
        <v>7</v>
      </c>
      <c r="C22" s="649" t="s">
        <v>30</v>
      </c>
      <c r="D22" s="115"/>
      <c r="E22" s="115"/>
      <c r="F22" s="115"/>
      <c r="G22" s="115"/>
      <c r="H22" s="115"/>
      <c r="I22" s="650">
        <f>Tabla2[[#This Row],[VOLUMEN ENVIADO A RO (m3)]]/Tabla2[[#This Row],[Q DE OPERACIÓN (m3/h)]]</f>
        <v>7.8330512820512812</v>
      </c>
      <c r="J22" s="124">
        <v>305.48899999999998</v>
      </c>
      <c r="K22" s="184">
        <v>39</v>
      </c>
      <c r="L22" s="184">
        <v>0</v>
      </c>
      <c r="M22" s="184">
        <v>0</v>
      </c>
      <c r="N22" s="184">
        <v>0</v>
      </c>
      <c r="O22" s="184">
        <v>0</v>
      </c>
      <c r="P22" s="184">
        <v>0</v>
      </c>
      <c r="Q22" s="124">
        <f t="shared" si="0"/>
        <v>0</v>
      </c>
      <c r="R22" s="124">
        <f t="shared" si="1"/>
        <v>0</v>
      </c>
      <c r="S22" s="124">
        <f t="shared" si="2"/>
        <v>0</v>
      </c>
      <c r="T22" s="124">
        <f t="shared" si="3"/>
        <v>0</v>
      </c>
      <c r="U22" s="124">
        <f t="shared" si="4"/>
        <v>0</v>
      </c>
      <c r="V22" s="124">
        <f t="shared" si="17"/>
        <v>0</v>
      </c>
      <c r="W22" s="124">
        <f t="shared" si="18"/>
        <v>0</v>
      </c>
      <c r="X22" s="124">
        <f t="shared" si="19"/>
        <v>0</v>
      </c>
      <c r="Y22" s="124">
        <f t="shared" si="20"/>
        <v>0</v>
      </c>
      <c r="Z22" s="124">
        <f t="shared" si="21"/>
        <v>0</v>
      </c>
      <c r="AA22" s="651">
        <v>1.18</v>
      </c>
      <c r="AB22" s="651">
        <v>1.28</v>
      </c>
      <c r="AC22" s="651">
        <v>1.2</v>
      </c>
      <c r="AD22" s="651">
        <v>1.53</v>
      </c>
      <c r="AE22" s="651">
        <v>1.2</v>
      </c>
      <c r="AF22" s="124">
        <f t="shared" si="22"/>
        <v>0</v>
      </c>
      <c r="AG22" s="124">
        <f t="shared" si="23"/>
        <v>0</v>
      </c>
      <c r="AH22" s="124">
        <f t="shared" si="24"/>
        <v>0</v>
      </c>
      <c r="AI22" s="124">
        <f t="shared" si="25"/>
        <v>0</v>
      </c>
      <c r="AJ22" s="124">
        <f t="shared" si="26"/>
        <v>0</v>
      </c>
      <c r="AK22" s="652">
        <f t="shared" si="6"/>
        <v>0</v>
      </c>
      <c r="AL22" s="652">
        <f t="shared" si="7"/>
        <v>0</v>
      </c>
      <c r="AM22" s="652">
        <f t="shared" si="8"/>
        <v>0</v>
      </c>
      <c r="AN22" s="652">
        <f t="shared" si="9"/>
        <v>0</v>
      </c>
      <c r="AO22" s="652">
        <f t="shared" si="10"/>
        <v>0</v>
      </c>
      <c r="AP22" s="653">
        <f t="shared" si="28"/>
        <v>1650</v>
      </c>
      <c r="AQ22" s="653">
        <f t="shared" si="28"/>
        <v>19160</v>
      </c>
      <c r="AR22" s="653">
        <f t="shared" si="28"/>
        <v>36239</v>
      </c>
      <c r="AS22" s="653">
        <f t="shared" si="28"/>
        <v>1298</v>
      </c>
      <c r="AT22" s="653">
        <f t="shared" si="28"/>
        <v>4200</v>
      </c>
      <c r="AU22" s="653">
        <f t="shared" si="11"/>
        <v>0</v>
      </c>
      <c r="AV22" s="653">
        <f t="shared" si="12"/>
        <v>0</v>
      </c>
      <c r="AW22" s="653">
        <f t="shared" si="13"/>
        <v>0</v>
      </c>
      <c r="AX22" s="653">
        <f t="shared" si="14"/>
        <v>0</v>
      </c>
      <c r="AY22" s="653">
        <f t="shared" si="15"/>
        <v>32076.345000000001</v>
      </c>
      <c r="AZ22" s="653">
        <f t="shared" si="16"/>
        <v>32076.345000000001</v>
      </c>
      <c r="BA22" s="653">
        <v>1000</v>
      </c>
      <c r="BB22" s="659">
        <f>+Tabla2[[#This Row],[COSTO QUIMICA ]]/Tabla2[[#This Row],[VOLUMEN ENVIADO A RO (m3)]]</f>
        <v>105.00000000000001</v>
      </c>
      <c r="BD22" s="199"/>
      <c r="BF22" s="200"/>
      <c r="BG22" s="199"/>
    </row>
    <row r="23" spans="1:59" ht="14.25" x14ac:dyDescent="0.25">
      <c r="A23" s="640">
        <f>+A22+1</f>
        <v>46120</v>
      </c>
      <c r="B23" s="641">
        <f>DAY(Tabla2[[#This Row],[FECHA]])</f>
        <v>8</v>
      </c>
      <c r="C23" s="642" t="s">
        <v>28</v>
      </c>
      <c r="D23" s="117"/>
      <c r="E23" s="117"/>
      <c r="F23" s="117"/>
      <c r="G23" s="117"/>
      <c r="H23" s="117"/>
      <c r="I23" s="643">
        <f>Tabla2[[#This Row],[VOLUMEN ENVIADO A RO (m3)]]/Tabla2[[#This Row],[Q DE OPERACIÓN (m3/h)]]</f>
        <v>7.5921538461538463</v>
      </c>
      <c r="J23" s="125">
        <v>296.09399999999999</v>
      </c>
      <c r="K23" s="182">
        <v>39</v>
      </c>
      <c r="L23" s="182">
        <v>0</v>
      </c>
      <c r="M23" s="182">
        <v>0</v>
      </c>
      <c r="N23" s="182">
        <v>0</v>
      </c>
      <c r="O23" s="182">
        <v>0</v>
      </c>
      <c r="P23" s="182">
        <v>0</v>
      </c>
      <c r="Q23" s="125">
        <f t="shared" si="0"/>
        <v>0</v>
      </c>
      <c r="R23" s="125">
        <f t="shared" si="1"/>
        <v>0</v>
      </c>
      <c r="S23" s="125">
        <f t="shared" si="2"/>
        <v>0</v>
      </c>
      <c r="T23" s="125">
        <f t="shared" si="3"/>
        <v>0</v>
      </c>
      <c r="U23" s="125">
        <f t="shared" si="4"/>
        <v>0</v>
      </c>
      <c r="V23" s="125">
        <f t="shared" si="17"/>
        <v>0</v>
      </c>
      <c r="W23" s="125">
        <f t="shared" si="18"/>
        <v>0</v>
      </c>
      <c r="X23" s="125">
        <f t="shared" si="19"/>
        <v>0</v>
      </c>
      <c r="Y23" s="125">
        <f t="shared" si="20"/>
        <v>0</v>
      </c>
      <c r="Z23" s="125">
        <f t="shared" si="21"/>
        <v>0</v>
      </c>
      <c r="AA23" s="644">
        <v>1.18</v>
      </c>
      <c r="AB23" s="644">
        <v>1.28</v>
      </c>
      <c r="AC23" s="644">
        <v>1.2</v>
      </c>
      <c r="AD23" s="644">
        <v>1.53</v>
      </c>
      <c r="AE23" s="644">
        <v>1.2</v>
      </c>
      <c r="AF23" s="125">
        <f t="shared" si="22"/>
        <v>0</v>
      </c>
      <c r="AG23" s="125">
        <f t="shared" si="23"/>
        <v>0</v>
      </c>
      <c r="AH23" s="125">
        <f t="shared" si="24"/>
        <v>0</v>
      </c>
      <c r="AI23" s="125">
        <f t="shared" si="25"/>
        <v>0</v>
      </c>
      <c r="AJ23" s="125">
        <f t="shared" si="26"/>
        <v>0</v>
      </c>
      <c r="AK23" s="617">
        <f t="shared" si="6"/>
        <v>0</v>
      </c>
      <c r="AL23" s="617">
        <f t="shared" si="7"/>
        <v>0</v>
      </c>
      <c r="AM23" s="617">
        <f t="shared" si="8"/>
        <v>0</v>
      </c>
      <c r="AN23" s="617">
        <f t="shared" si="9"/>
        <v>0</v>
      </c>
      <c r="AO23" s="617">
        <f t="shared" si="10"/>
        <v>0</v>
      </c>
      <c r="AP23" s="645">
        <f t="shared" si="28"/>
        <v>1650</v>
      </c>
      <c r="AQ23" s="645">
        <f t="shared" si="28"/>
        <v>19160</v>
      </c>
      <c r="AR23" s="645">
        <f t="shared" si="28"/>
        <v>36239</v>
      </c>
      <c r="AS23" s="645">
        <f t="shared" si="28"/>
        <v>1298</v>
      </c>
      <c r="AT23" s="645">
        <f t="shared" si="28"/>
        <v>4200</v>
      </c>
      <c r="AU23" s="645">
        <f t="shared" si="11"/>
        <v>0</v>
      </c>
      <c r="AV23" s="645">
        <f t="shared" si="12"/>
        <v>0</v>
      </c>
      <c r="AW23" s="645">
        <f t="shared" si="13"/>
        <v>0</v>
      </c>
      <c r="AX23" s="645">
        <f t="shared" si="14"/>
        <v>0</v>
      </c>
      <c r="AY23" s="645">
        <f t="shared" si="15"/>
        <v>31089.870000000003</v>
      </c>
      <c r="AZ23" s="645">
        <f t="shared" si="16"/>
        <v>31089.870000000003</v>
      </c>
      <c r="BA23" s="645">
        <v>1000</v>
      </c>
      <c r="BB23" s="657">
        <f>+Tabla2[[#This Row],[COSTO QUIMICA ]]/Tabla2[[#This Row],[VOLUMEN ENVIADO A RO (m3)]]</f>
        <v>105.00000000000001</v>
      </c>
      <c r="BD23" s="199"/>
      <c r="BF23" s="200"/>
      <c r="BG23" s="199"/>
    </row>
    <row r="24" spans="1:59" x14ac:dyDescent="0.25">
      <c r="A24" s="646">
        <f>+A23</f>
        <v>46120</v>
      </c>
      <c r="B24" s="610">
        <f>DAY(Tabla2[[#This Row],[FECHA]])</f>
        <v>8</v>
      </c>
      <c r="C24" s="628" t="s">
        <v>29</v>
      </c>
      <c r="D24" s="114"/>
      <c r="E24" s="114"/>
      <c r="F24" s="114"/>
      <c r="G24" s="114"/>
      <c r="H24" s="114"/>
      <c r="I24" s="625">
        <f>Tabla2[[#This Row],[VOLUMEN ENVIADO A RO (m3)]]/Tabla2[[#This Row],[Q DE OPERACIÓN (m3/h)]]</f>
        <v>8.8325675675675672</v>
      </c>
      <c r="J24" s="123">
        <v>326.80500000000001</v>
      </c>
      <c r="K24" s="183">
        <v>37</v>
      </c>
      <c r="L24" s="183">
        <v>0</v>
      </c>
      <c r="M24" s="183">
        <v>0</v>
      </c>
      <c r="N24" s="183">
        <v>0</v>
      </c>
      <c r="O24" s="183">
        <v>0</v>
      </c>
      <c r="P24" s="183">
        <v>0</v>
      </c>
      <c r="Q24" s="123">
        <f t="shared" si="0"/>
        <v>0</v>
      </c>
      <c r="R24" s="123">
        <f t="shared" si="1"/>
        <v>0</v>
      </c>
      <c r="S24" s="123">
        <f t="shared" si="2"/>
        <v>0</v>
      </c>
      <c r="T24" s="123">
        <f t="shared" si="3"/>
        <v>0</v>
      </c>
      <c r="U24" s="123">
        <f t="shared" si="4"/>
        <v>0</v>
      </c>
      <c r="V24" s="123">
        <f t="shared" si="17"/>
        <v>0</v>
      </c>
      <c r="W24" s="123">
        <f t="shared" si="18"/>
        <v>0</v>
      </c>
      <c r="X24" s="123">
        <f t="shared" si="19"/>
        <v>0</v>
      </c>
      <c r="Y24" s="123">
        <f t="shared" si="20"/>
        <v>0</v>
      </c>
      <c r="Z24" s="123">
        <f t="shared" si="21"/>
        <v>0</v>
      </c>
      <c r="AA24" s="626">
        <v>1.18</v>
      </c>
      <c r="AB24" s="626">
        <v>1.28</v>
      </c>
      <c r="AC24" s="626">
        <v>1.2</v>
      </c>
      <c r="AD24" s="626">
        <v>1.53</v>
      </c>
      <c r="AE24" s="626">
        <v>1.2</v>
      </c>
      <c r="AF24" s="123">
        <f t="shared" si="22"/>
        <v>0</v>
      </c>
      <c r="AG24" s="123">
        <f t="shared" si="23"/>
        <v>0</v>
      </c>
      <c r="AH24" s="123">
        <f t="shared" si="24"/>
        <v>0</v>
      </c>
      <c r="AI24" s="123">
        <f t="shared" si="25"/>
        <v>0</v>
      </c>
      <c r="AJ24" s="123">
        <f t="shared" si="26"/>
        <v>0</v>
      </c>
      <c r="AK24" s="615">
        <f t="shared" si="6"/>
        <v>0</v>
      </c>
      <c r="AL24" s="615">
        <f t="shared" si="7"/>
        <v>0</v>
      </c>
      <c r="AM24" s="615">
        <f t="shared" si="8"/>
        <v>0</v>
      </c>
      <c r="AN24" s="615">
        <f t="shared" si="9"/>
        <v>0</v>
      </c>
      <c r="AO24" s="615">
        <f t="shared" si="10"/>
        <v>0</v>
      </c>
      <c r="AP24" s="627">
        <f t="shared" si="28"/>
        <v>1650</v>
      </c>
      <c r="AQ24" s="627">
        <f t="shared" si="28"/>
        <v>19160</v>
      </c>
      <c r="AR24" s="627">
        <f t="shared" si="28"/>
        <v>36239</v>
      </c>
      <c r="AS24" s="627">
        <f t="shared" si="28"/>
        <v>1298</v>
      </c>
      <c r="AT24" s="627">
        <f t="shared" si="28"/>
        <v>4200</v>
      </c>
      <c r="AU24" s="627">
        <f t="shared" si="11"/>
        <v>0</v>
      </c>
      <c r="AV24" s="627">
        <f t="shared" si="12"/>
        <v>0</v>
      </c>
      <c r="AW24" s="627">
        <f t="shared" si="13"/>
        <v>0</v>
      </c>
      <c r="AX24" s="627">
        <f t="shared" si="14"/>
        <v>0</v>
      </c>
      <c r="AY24" s="627">
        <f t="shared" si="15"/>
        <v>34314.525000000001</v>
      </c>
      <c r="AZ24" s="627">
        <f t="shared" si="16"/>
        <v>34314.525000000001</v>
      </c>
      <c r="BA24" s="627">
        <v>1000</v>
      </c>
      <c r="BB24" s="658">
        <f>+Tabla2[[#This Row],[COSTO QUIMICA ]]/Tabla2[[#This Row],[VOLUMEN ENVIADO A RO (m3)]]</f>
        <v>105</v>
      </c>
      <c r="BD24" s="199"/>
      <c r="BF24" s="200"/>
      <c r="BG24" s="199"/>
    </row>
    <row r="25" spans="1:59" thickBot="1" x14ac:dyDescent="0.3">
      <c r="A25" s="647">
        <f>+A24</f>
        <v>46120</v>
      </c>
      <c r="B25" s="648">
        <f>DAY(Tabla2[[#This Row],[FECHA]])</f>
        <v>8</v>
      </c>
      <c r="C25" s="649" t="s">
        <v>30</v>
      </c>
      <c r="D25" s="115"/>
      <c r="E25" s="115"/>
      <c r="F25" s="115"/>
      <c r="G25" s="115"/>
      <c r="H25" s="115"/>
      <c r="I25" s="650">
        <f>Tabla2[[#This Row],[VOLUMEN ENVIADO A RO (m3)]]/Tabla2[[#This Row],[Q DE OPERACIÓN (m3/h)]]</f>
        <v>6.5840000000000005</v>
      </c>
      <c r="J25" s="124">
        <v>269.94400000000002</v>
      </c>
      <c r="K25" s="184">
        <v>41</v>
      </c>
      <c r="L25" s="184">
        <v>0</v>
      </c>
      <c r="M25" s="184">
        <v>0</v>
      </c>
      <c r="N25" s="184">
        <v>0</v>
      </c>
      <c r="O25" s="184">
        <v>0</v>
      </c>
      <c r="P25" s="184">
        <v>0</v>
      </c>
      <c r="Q25" s="124">
        <f t="shared" si="0"/>
        <v>0</v>
      </c>
      <c r="R25" s="124">
        <f t="shared" si="1"/>
        <v>0</v>
      </c>
      <c r="S25" s="124">
        <f t="shared" si="2"/>
        <v>0</v>
      </c>
      <c r="T25" s="124">
        <f t="shared" si="3"/>
        <v>0</v>
      </c>
      <c r="U25" s="124">
        <f t="shared" si="4"/>
        <v>0</v>
      </c>
      <c r="V25" s="124">
        <f t="shared" si="17"/>
        <v>0</v>
      </c>
      <c r="W25" s="124">
        <f t="shared" si="18"/>
        <v>0</v>
      </c>
      <c r="X25" s="124">
        <f t="shared" si="19"/>
        <v>0</v>
      </c>
      <c r="Y25" s="124">
        <f t="shared" si="20"/>
        <v>0</v>
      </c>
      <c r="Z25" s="124">
        <f t="shared" si="21"/>
        <v>0</v>
      </c>
      <c r="AA25" s="651">
        <v>1.18</v>
      </c>
      <c r="AB25" s="651">
        <v>1.28</v>
      </c>
      <c r="AC25" s="651">
        <v>1.2</v>
      </c>
      <c r="AD25" s="651">
        <v>1.53</v>
      </c>
      <c r="AE25" s="651">
        <v>1.2</v>
      </c>
      <c r="AF25" s="124">
        <f t="shared" si="22"/>
        <v>0</v>
      </c>
      <c r="AG25" s="124">
        <f t="shared" si="23"/>
        <v>0</v>
      </c>
      <c r="AH25" s="124">
        <f t="shared" si="24"/>
        <v>0</v>
      </c>
      <c r="AI25" s="124">
        <f t="shared" si="25"/>
        <v>0</v>
      </c>
      <c r="AJ25" s="124">
        <f t="shared" si="26"/>
        <v>0</v>
      </c>
      <c r="AK25" s="652">
        <f t="shared" si="6"/>
        <v>0</v>
      </c>
      <c r="AL25" s="652">
        <f t="shared" si="7"/>
        <v>0</v>
      </c>
      <c r="AM25" s="652">
        <f t="shared" si="8"/>
        <v>0</v>
      </c>
      <c r="AN25" s="652">
        <f t="shared" si="9"/>
        <v>0</v>
      </c>
      <c r="AO25" s="652">
        <f t="shared" si="10"/>
        <v>0</v>
      </c>
      <c r="AP25" s="653">
        <f t="shared" si="28"/>
        <v>1650</v>
      </c>
      <c r="AQ25" s="653">
        <f t="shared" si="28"/>
        <v>19160</v>
      </c>
      <c r="AR25" s="653">
        <f t="shared" si="28"/>
        <v>36239</v>
      </c>
      <c r="AS25" s="653">
        <f t="shared" si="28"/>
        <v>1298</v>
      </c>
      <c r="AT25" s="653">
        <f t="shared" si="28"/>
        <v>4200</v>
      </c>
      <c r="AU25" s="653">
        <f t="shared" si="11"/>
        <v>0</v>
      </c>
      <c r="AV25" s="653">
        <f t="shared" si="12"/>
        <v>0</v>
      </c>
      <c r="AW25" s="653">
        <f t="shared" si="13"/>
        <v>0</v>
      </c>
      <c r="AX25" s="653">
        <f t="shared" si="14"/>
        <v>0</v>
      </c>
      <c r="AY25" s="653">
        <f t="shared" si="15"/>
        <v>28344.120000000003</v>
      </c>
      <c r="AZ25" s="653">
        <f t="shared" si="16"/>
        <v>28344.120000000003</v>
      </c>
      <c r="BA25" s="653">
        <v>1000</v>
      </c>
      <c r="BB25" s="659">
        <f>+Tabla2[[#This Row],[COSTO QUIMICA ]]/Tabla2[[#This Row],[VOLUMEN ENVIADO A RO (m3)]]</f>
        <v>105</v>
      </c>
    </row>
    <row r="26" spans="1:59" ht="14.25" x14ac:dyDescent="0.25">
      <c r="A26" s="640">
        <f>+A25+1</f>
        <v>46121</v>
      </c>
      <c r="B26" s="641">
        <f>DAY(Tabla2[[#This Row],[FECHA]])</f>
        <v>9</v>
      </c>
      <c r="C26" s="642" t="s">
        <v>28</v>
      </c>
      <c r="D26" s="117"/>
      <c r="E26" s="117"/>
      <c r="F26" s="117"/>
      <c r="G26" s="117"/>
      <c r="H26" s="117"/>
      <c r="I26" s="643">
        <f>Tabla2[[#This Row],[VOLUMEN ENVIADO A RO (m3)]]/Tabla2[[#This Row],[Q DE OPERACIÓN (m3/h)]]</f>
        <v>6.9993499999999997</v>
      </c>
      <c r="J26" s="125">
        <v>279.97399999999999</v>
      </c>
      <c r="K26" s="182">
        <v>40</v>
      </c>
      <c r="L26" s="182">
        <v>0</v>
      </c>
      <c r="M26" s="182">
        <v>0</v>
      </c>
      <c r="N26" s="182">
        <v>0</v>
      </c>
      <c r="O26" s="182">
        <v>0</v>
      </c>
      <c r="P26" s="182">
        <v>0</v>
      </c>
      <c r="Q26" s="125">
        <f t="shared" si="0"/>
        <v>0</v>
      </c>
      <c r="R26" s="125">
        <f t="shared" si="1"/>
        <v>0</v>
      </c>
      <c r="S26" s="125">
        <f t="shared" si="2"/>
        <v>0</v>
      </c>
      <c r="T26" s="125">
        <f t="shared" si="3"/>
        <v>0</v>
      </c>
      <c r="U26" s="125">
        <f t="shared" si="4"/>
        <v>0</v>
      </c>
      <c r="V26" s="125">
        <f t="shared" si="17"/>
        <v>0</v>
      </c>
      <c r="W26" s="125">
        <f t="shared" si="18"/>
        <v>0</v>
      </c>
      <c r="X26" s="125">
        <f t="shared" si="19"/>
        <v>0</v>
      </c>
      <c r="Y26" s="125">
        <f t="shared" si="20"/>
        <v>0</v>
      </c>
      <c r="Z26" s="125">
        <f t="shared" si="21"/>
        <v>0</v>
      </c>
      <c r="AA26" s="644">
        <v>1.18</v>
      </c>
      <c r="AB26" s="644">
        <v>1.28</v>
      </c>
      <c r="AC26" s="644">
        <v>1.2</v>
      </c>
      <c r="AD26" s="644">
        <v>1.53</v>
      </c>
      <c r="AE26" s="644">
        <v>1.2</v>
      </c>
      <c r="AF26" s="125">
        <f t="shared" si="22"/>
        <v>0</v>
      </c>
      <c r="AG26" s="125">
        <f t="shared" si="23"/>
        <v>0</v>
      </c>
      <c r="AH26" s="125">
        <f t="shared" si="24"/>
        <v>0</v>
      </c>
      <c r="AI26" s="125">
        <f t="shared" si="25"/>
        <v>0</v>
      </c>
      <c r="AJ26" s="125">
        <f t="shared" si="26"/>
        <v>0</v>
      </c>
      <c r="AK26" s="617">
        <f t="shared" si="6"/>
        <v>0</v>
      </c>
      <c r="AL26" s="617">
        <f t="shared" si="7"/>
        <v>0</v>
      </c>
      <c r="AM26" s="617">
        <f t="shared" si="8"/>
        <v>0</v>
      </c>
      <c r="AN26" s="617">
        <f t="shared" si="9"/>
        <v>0</v>
      </c>
      <c r="AO26" s="617">
        <f t="shared" si="10"/>
        <v>0</v>
      </c>
      <c r="AP26" s="645">
        <f t="shared" si="28"/>
        <v>1650</v>
      </c>
      <c r="AQ26" s="645">
        <f t="shared" si="28"/>
        <v>19160</v>
      </c>
      <c r="AR26" s="645">
        <f t="shared" si="28"/>
        <v>36239</v>
      </c>
      <c r="AS26" s="645">
        <f t="shared" si="28"/>
        <v>1298</v>
      </c>
      <c r="AT26" s="645">
        <f t="shared" si="28"/>
        <v>4200</v>
      </c>
      <c r="AU26" s="645">
        <f t="shared" si="11"/>
        <v>0</v>
      </c>
      <c r="AV26" s="645">
        <f t="shared" si="12"/>
        <v>0</v>
      </c>
      <c r="AW26" s="645">
        <f t="shared" si="13"/>
        <v>0</v>
      </c>
      <c r="AX26" s="645">
        <f t="shared" si="14"/>
        <v>0</v>
      </c>
      <c r="AY26" s="645">
        <f t="shared" si="15"/>
        <v>29397.27</v>
      </c>
      <c r="AZ26" s="645">
        <f t="shared" si="16"/>
        <v>29397.27</v>
      </c>
      <c r="BA26" s="645">
        <v>1000</v>
      </c>
      <c r="BB26" s="657">
        <f>+Tabla2[[#This Row],[COSTO QUIMICA ]]/Tabla2[[#This Row],[VOLUMEN ENVIADO A RO (m3)]]</f>
        <v>105</v>
      </c>
    </row>
    <row r="27" spans="1:59" x14ac:dyDescent="0.25">
      <c r="A27" s="646">
        <f>+A26</f>
        <v>46121</v>
      </c>
      <c r="B27" s="610">
        <f>DAY(Tabla2[[#This Row],[FECHA]])</f>
        <v>9</v>
      </c>
      <c r="C27" s="628" t="s">
        <v>29</v>
      </c>
      <c r="D27" s="114"/>
      <c r="E27" s="114"/>
      <c r="F27" s="114"/>
      <c r="G27" s="114"/>
      <c r="H27" s="114"/>
      <c r="I27" s="625">
        <f>Tabla2[[#This Row],[VOLUMEN ENVIADO A RO (m3)]]/Tabla2[[#This Row],[Q DE OPERACIÓN (m3/h)]]</f>
        <v>7.289575000000001</v>
      </c>
      <c r="J27" s="123">
        <v>291.58300000000003</v>
      </c>
      <c r="K27" s="183">
        <v>40</v>
      </c>
      <c r="L27" s="183">
        <v>0</v>
      </c>
      <c r="M27" s="183">
        <v>0</v>
      </c>
      <c r="N27" s="183">
        <v>0</v>
      </c>
      <c r="O27" s="183">
        <v>0</v>
      </c>
      <c r="P27" s="183">
        <v>0</v>
      </c>
      <c r="Q27" s="123">
        <f t="shared" si="0"/>
        <v>0</v>
      </c>
      <c r="R27" s="123">
        <f t="shared" si="1"/>
        <v>0</v>
      </c>
      <c r="S27" s="123">
        <f t="shared" si="2"/>
        <v>0</v>
      </c>
      <c r="T27" s="123">
        <f t="shared" si="3"/>
        <v>0</v>
      </c>
      <c r="U27" s="123">
        <f t="shared" si="4"/>
        <v>0</v>
      </c>
      <c r="V27" s="123">
        <f t="shared" si="17"/>
        <v>0</v>
      </c>
      <c r="W27" s="123">
        <f>R27-R28</f>
        <v>0</v>
      </c>
      <c r="X27" s="123">
        <f t="shared" si="19"/>
        <v>0</v>
      </c>
      <c r="Y27" s="123">
        <f t="shared" si="20"/>
        <v>0</v>
      </c>
      <c r="Z27" s="123">
        <f t="shared" si="21"/>
        <v>0</v>
      </c>
      <c r="AA27" s="626">
        <v>1.18</v>
      </c>
      <c r="AB27" s="626">
        <v>1.28</v>
      </c>
      <c r="AC27" s="626">
        <v>1.2</v>
      </c>
      <c r="AD27" s="626">
        <v>1.53</v>
      </c>
      <c r="AE27" s="626">
        <v>1.2</v>
      </c>
      <c r="AF27" s="123">
        <f t="shared" si="22"/>
        <v>0</v>
      </c>
      <c r="AG27" s="123">
        <f t="shared" si="23"/>
        <v>0</v>
      </c>
      <c r="AH27" s="123">
        <f t="shared" si="24"/>
        <v>0</v>
      </c>
      <c r="AI27" s="123">
        <f t="shared" si="25"/>
        <v>0</v>
      </c>
      <c r="AJ27" s="123">
        <f t="shared" si="26"/>
        <v>0</v>
      </c>
      <c r="AK27" s="615">
        <f t="shared" si="6"/>
        <v>0</v>
      </c>
      <c r="AL27" s="615">
        <f t="shared" si="7"/>
        <v>0</v>
      </c>
      <c r="AM27" s="615">
        <f t="shared" si="8"/>
        <v>0</v>
      </c>
      <c r="AN27" s="615">
        <f t="shared" si="9"/>
        <v>0</v>
      </c>
      <c r="AO27" s="615">
        <f t="shared" si="10"/>
        <v>0</v>
      </c>
      <c r="AP27" s="627">
        <f t="shared" si="28"/>
        <v>1650</v>
      </c>
      <c r="AQ27" s="627">
        <f t="shared" si="28"/>
        <v>19160</v>
      </c>
      <c r="AR27" s="627">
        <f t="shared" si="28"/>
        <v>36239</v>
      </c>
      <c r="AS27" s="627">
        <f t="shared" si="28"/>
        <v>1298</v>
      </c>
      <c r="AT27" s="627">
        <f t="shared" si="28"/>
        <v>4200</v>
      </c>
      <c r="AU27" s="627">
        <f t="shared" si="11"/>
        <v>0</v>
      </c>
      <c r="AV27" s="627">
        <f t="shared" si="12"/>
        <v>0</v>
      </c>
      <c r="AW27" s="627">
        <f t="shared" si="13"/>
        <v>0</v>
      </c>
      <c r="AX27" s="627">
        <f t="shared" si="14"/>
        <v>0</v>
      </c>
      <c r="AY27" s="627">
        <f t="shared" si="15"/>
        <v>30616.215000000004</v>
      </c>
      <c r="AZ27" s="627">
        <f t="shared" si="16"/>
        <v>30616.215000000004</v>
      </c>
      <c r="BA27" s="627">
        <v>1000</v>
      </c>
      <c r="BB27" s="658">
        <f>+Tabla2[[#This Row],[COSTO QUIMICA ]]/Tabla2[[#This Row],[VOLUMEN ENVIADO A RO (m3)]]</f>
        <v>105</v>
      </c>
    </row>
    <row r="28" spans="1:59" thickBot="1" x14ac:dyDescent="0.3">
      <c r="A28" s="647">
        <f>+A27</f>
        <v>46121</v>
      </c>
      <c r="B28" s="648">
        <f>DAY(Tabla2[[#This Row],[FECHA]])</f>
        <v>9</v>
      </c>
      <c r="C28" s="649" t="s">
        <v>30</v>
      </c>
      <c r="D28" s="115"/>
      <c r="E28" s="115"/>
      <c r="F28" s="115"/>
      <c r="G28" s="115"/>
      <c r="H28" s="115"/>
      <c r="I28" s="650">
        <f>Tabla2[[#This Row],[VOLUMEN ENVIADO A RO (m3)]]/Tabla2[[#This Row],[Q DE OPERACIÓN (m3/h)]]</f>
        <v>6.500230769230769</v>
      </c>
      <c r="J28" s="124">
        <v>253.50899999999999</v>
      </c>
      <c r="K28" s="184">
        <v>39</v>
      </c>
      <c r="L28" s="184">
        <v>0</v>
      </c>
      <c r="M28" s="184">
        <v>0</v>
      </c>
      <c r="N28" s="184">
        <v>0</v>
      </c>
      <c r="O28" s="184">
        <v>0</v>
      </c>
      <c r="P28" s="184">
        <v>0</v>
      </c>
      <c r="Q28" s="124">
        <f t="shared" si="0"/>
        <v>0</v>
      </c>
      <c r="R28" s="124">
        <f t="shared" si="1"/>
        <v>0</v>
      </c>
      <c r="S28" s="124">
        <f t="shared" si="2"/>
        <v>0</v>
      </c>
      <c r="T28" s="124">
        <f t="shared" si="3"/>
        <v>0</v>
      </c>
      <c r="U28" s="124">
        <f t="shared" si="4"/>
        <v>0</v>
      </c>
      <c r="V28" s="124">
        <f t="shared" si="17"/>
        <v>0</v>
      </c>
      <c r="W28" s="124">
        <f t="shared" si="18"/>
        <v>0</v>
      </c>
      <c r="X28" s="124">
        <f t="shared" si="19"/>
        <v>0</v>
      </c>
      <c r="Y28" s="124">
        <f t="shared" si="20"/>
        <v>0</v>
      </c>
      <c r="Z28" s="124">
        <f t="shared" si="21"/>
        <v>0</v>
      </c>
      <c r="AA28" s="651">
        <v>1.18</v>
      </c>
      <c r="AB28" s="651">
        <v>1.28</v>
      </c>
      <c r="AC28" s="651">
        <v>1.2</v>
      </c>
      <c r="AD28" s="651">
        <v>1.53</v>
      </c>
      <c r="AE28" s="651">
        <v>1.2</v>
      </c>
      <c r="AF28" s="124">
        <f t="shared" si="22"/>
        <v>0</v>
      </c>
      <c r="AG28" s="124">
        <f t="shared" si="23"/>
        <v>0</v>
      </c>
      <c r="AH28" s="124">
        <f t="shared" si="24"/>
        <v>0</v>
      </c>
      <c r="AI28" s="124">
        <f t="shared" si="25"/>
        <v>0</v>
      </c>
      <c r="AJ28" s="124">
        <f t="shared" si="26"/>
        <v>0</v>
      </c>
      <c r="AK28" s="652">
        <f t="shared" si="6"/>
        <v>0</v>
      </c>
      <c r="AL28" s="652">
        <f t="shared" si="7"/>
        <v>0</v>
      </c>
      <c r="AM28" s="652">
        <f t="shared" si="8"/>
        <v>0</v>
      </c>
      <c r="AN28" s="652">
        <f t="shared" si="9"/>
        <v>0</v>
      </c>
      <c r="AO28" s="652">
        <f t="shared" si="10"/>
        <v>0</v>
      </c>
      <c r="AP28" s="653">
        <f t="shared" si="28"/>
        <v>1650</v>
      </c>
      <c r="AQ28" s="653">
        <f t="shared" si="28"/>
        <v>19160</v>
      </c>
      <c r="AR28" s="653">
        <f t="shared" si="28"/>
        <v>36239</v>
      </c>
      <c r="AS28" s="653">
        <f t="shared" si="28"/>
        <v>1298</v>
      </c>
      <c r="AT28" s="653">
        <f t="shared" si="28"/>
        <v>4200</v>
      </c>
      <c r="AU28" s="653">
        <f t="shared" si="11"/>
        <v>0</v>
      </c>
      <c r="AV28" s="653">
        <f t="shared" si="12"/>
        <v>0</v>
      </c>
      <c r="AW28" s="653">
        <f t="shared" si="13"/>
        <v>0</v>
      </c>
      <c r="AX28" s="653">
        <f t="shared" si="14"/>
        <v>0</v>
      </c>
      <c r="AY28" s="653">
        <f t="shared" si="15"/>
        <v>26618.445</v>
      </c>
      <c r="AZ28" s="653">
        <f t="shared" si="16"/>
        <v>26618.445</v>
      </c>
      <c r="BA28" s="653">
        <v>1000</v>
      </c>
      <c r="BB28" s="659">
        <f>+Tabla2[[#This Row],[COSTO QUIMICA ]]/Tabla2[[#This Row],[VOLUMEN ENVIADO A RO (m3)]]</f>
        <v>105</v>
      </c>
    </row>
    <row r="29" spans="1:59" ht="14.25" x14ac:dyDescent="0.25">
      <c r="A29" s="640">
        <f>+A28+1</f>
        <v>46122</v>
      </c>
      <c r="B29" s="641">
        <f>DAY(Tabla2[[#This Row],[FECHA]])</f>
        <v>10</v>
      </c>
      <c r="C29" s="642" t="s">
        <v>28</v>
      </c>
      <c r="D29" s="117"/>
      <c r="E29" s="117"/>
      <c r="F29" s="117"/>
      <c r="G29" s="117"/>
      <c r="H29" s="117"/>
      <c r="I29" s="643">
        <f>Tabla2[[#This Row],[VOLUMEN ENVIADO A RO (m3)]]/Tabla2[[#This Row],[Q DE OPERACIÓN (m3/h)]]</f>
        <v>6.3903589743589739</v>
      </c>
      <c r="J29" s="125">
        <v>249.22399999999999</v>
      </c>
      <c r="K29" s="182">
        <v>39</v>
      </c>
      <c r="L29" s="182">
        <v>0</v>
      </c>
      <c r="M29" s="182">
        <v>0</v>
      </c>
      <c r="N29" s="182">
        <v>0</v>
      </c>
      <c r="O29" s="182">
        <v>0</v>
      </c>
      <c r="P29" s="182">
        <v>0</v>
      </c>
      <c r="Q29" s="125">
        <f t="shared" si="0"/>
        <v>0</v>
      </c>
      <c r="R29" s="125">
        <f t="shared" si="1"/>
        <v>0</v>
      </c>
      <c r="S29" s="125">
        <f t="shared" si="2"/>
        <v>0</v>
      </c>
      <c r="T29" s="125">
        <f t="shared" si="3"/>
        <v>0</v>
      </c>
      <c r="U29" s="125">
        <f t="shared" si="4"/>
        <v>0</v>
      </c>
      <c r="V29" s="125">
        <f t="shared" si="17"/>
        <v>0</v>
      </c>
      <c r="W29" s="125">
        <f t="shared" si="18"/>
        <v>0</v>
      </c>
      <c r="X29" s="125">
        <f t="shared" si="19"/>
        <v>0</v>
      </c>
      <c r="Y29" s="125">
        <f t="shared" si="20"/>
        <v>0</v>
      </c>
      <c r="Z29" s="125">
        <f t="shared" si="21"/>
        <v>0</v>
      </c>
      <c r="AA29" s="644">
        <v>1.18</v>
      </c>
      <c r="AB29" s="644">
        <v>1.28</v>
      </c>
      <c r="AC29" s="644">
        <v>1.2</v>
      </c>
      <c r="AD29" s="644">
        <v>1.53</v>
      </c>
      <c r="AE29" s="644">
        <v>1.2</v>
      </c>
      <c r="AF29" s="125">
        <f t="shared" si="22"/>
        <v>0</v>
      </c>
      <c r="AG29" s="125">
        <f t="shared" si="23"/>
        <v>0</v>
      </c>
      <c r="AH29" s="125">
        <f t="shared" si="24"/>
        <v>0</v>
      </c>
      <c r="AI29" s="125">
        <f t="shared" si="25"/>
        <v>0</v>
      </c>
      <c r="AJ29" s="125">
        <f t="shared" si="26"/>
        <v>0</v>
      </c>
      <c r="AK29" s="617">
        <f t="shared" si="6"/>
        <v>0</v>
      </c>
      <c r="AL29" s="617">
        <f t="shared" si="7"/>
        <v>0</v>
      </c>
      <c r="AM29" s="617">
        <f t="shared" si="8"/>
        <v>0</v>
      </c>
      <c r="AN29" s="617">
        <f t="shared" si="9"/>
        <v>0</v>
      </c>
      <c r="AO29" s="617">
        <f t="shared" si="10"/>
        <v>0</v>
      </c>
      <c r="AP29" s="645">
        <f t="shared" si="28"/>
        <v>1650</v>
      </c>
      <c r="AQ29" s="645">
        <f t="shared" si="28"/>
        <v>19160</v>
      </c>
      <c r="AR29" s="645">
        <f t="shared" si="28"/>
        <v>36239</v>
      </c>
      <c r="AS29" s="645">
        <f t="shared" si="28"/>
        <v>1298</v>
      </c>
      <c r="AT29" s="645">
        <f t="shared" si="28"/>
        <v>4200</v>
      </c>
      <c r="AU29" s="645">
        <f t="shared" si="11"/>
        <v>0</v>
      </c>
      <c r="AV29" s="645">
        <f t="shared" si="12"/>
        <v>0</v>
      </c>
      <c r="AW29" s="645">
        <f t="shared" si="13"/>
        <v>0</v>
      </c>
      <c r="AX29" s="645">
        <f t="shared" si="14"/>
        <v>0</v>
      </c>
      <c r="AY29" s="645">
        <f t="shared" si="15"/>
        <v>26168.52</v>
      </c>
      <c r="AZ29" s="645">
        <f t="shared" si="16"/>
        <v>26168.52</v>
      </c>
      <c r="BA29" s="645">
        <v>1000</v>
      </c>
      <c r="BB29" s="657">
        <f>+Tabla2[[#This Row],[COSTO QUIMICA ]]/Tabla2[[#This Row],[VOLUMEN ENVIADO A RO (m3)]]</f>
        <v>105</v>
      </c>
    </row>
    <row r="30" spans="1:59" x14ac:dyDescent="0.25">
      <c r="A30" s="646">
        <f>+A29</f>
        <v>46122</v>
      </c>
      <c r="B30" s="610">
        <f>DAY(Tabla2[[#This Row],[FECHA]])</f>
        <v>10</v>
      </c>
      <c r="C30" s="628" t="s">
        <v>29</v>
      </c>
      <c r="D30" s="114"/>
      <c r="E30" s="114"/>
      <c r="F30" s="114"/>
      <c r="G30" s="114"/>
      <c r="H30" s="114"/>
      <c r="I30" s="625">
        <f>Tabla2[[#This Row],[VOLUMEN ENVIADO A RO (m3)]]/Tabla2[[#This Row],[Q DE OPERACIÓN (m3/h)]]</f>
        <v>8.1603846153846149</v>
      </c>
      <c r="J30" s="123">
        <v>318.255</v>
      </c>
      <c r="K30" s="183">
        <v>39</v>
      </c>
      <c r="L30" s="183">
        <v>0</v>
      </c>
      <c r="M30" s="183">
        <v>0</v>
      </c>
      <c r="N30" s="183">
        <v>0</v>
      </c>
      <c r="O30" s="183">
        <v>0</v>
      </c>
      <c r="P30" s="183">
        <v>0</v>
      </c>
      <c r="Q30" s="123">
        <f t="shared" si="0"/>
        <v>0</v>
      </c>
      <c r="R30" s="123">
        <f t="shared" si="1"/>
        <v>0</v>
      </c>
      <c r="S30" s="123">
        <f t="shared" si="2"/>
        <v>0</v>
      </c>
      <c r="T30" s="123">
        <f t="shared" si="3"/>
        <v>0</v>
      </c>
      <c r="U30" s="123">
        <f t="shared" si="4"/>
        <v>0</v>
      </c>
      <c r="V30" s="123">
        <f t="shared" si="17"/>
        <v>0</v>
      </c>
      <c r="W30" s="123">
        <f t="shared" si="18"/>
        <v>0</v>
      </c>
      <c r="X30" s="123">
        <f t="shared" si="19"/>
        <v>0</v>
      </c>
      <c r="Y30" s="123">
        <f t="shared" si="20"/>
        <v>0</v>
      </c>
      <c r="Z30" s="123">
        <f t="shared" si="21"/>
        <v>0</v>
      </c>
      <c r="AA30" s="626">
        <v>1.18</v>
      </c>
      <c r="AB30" s="626">
        <v>1.28</v>
      </c>
      <c r="AC30" s="626">
        <v>1.2</v>
      </c>
      <c r="AD30" s="626">
        <v>1.53</v>
      </c>
      <c r="AE30" s="626">
        <v>1.2</v>
      </c>
      <c r="AF30" s="123">
        <f t="shared" si="22"/>
        <v>0</v>
      </c>
      <c r="AG30" s="123">
        <f t="shared" si="23"/>
        <v>0</v>
      </c>
      <c r="AH30" s="123">
        <f t="shared" si="24"/>
        <v>0</v>
      </c>
      <c r="AI30" s="123">
        <f t="shared" si="25"/>
        <v>0</v>
      </c>
      <c r="AJ30" s="123">
        <f t="shared" si="26"/>
        <v>0</v>
      </c>
      <c r="AK30" s="615">
        <f t="shared" si="6"/>
        <v>0</v>
      </c>
      <c r="AL30" s="615">
        <f t="shared" si="7"/>
        <v>0</v>
      </c>
      <c r="AM30" s="615">
        <f t="shared" si="8"/>
        <v>0</v>
      </c>
      <c r="AN30" s="615">
        <f t="shared" si="9"/>
        <v>0</v>
      </c>
      <c r="AO30" s="615">
        <f t="shared" si="10"/>
        <v>0</v>
      </c>
      <c r="AP30" s="627">
        <f t="shared" si="28"/>
        <v>1650</v>
      </c>
      <c r="AQ30" s="627">
        <f t="shared" si="28"/>
        <v>19160</v>
      </c>
      <c r="AR30" s="627">
        <f t="shared" si="28"/>
        <v>36239</v>
      </c>
      <c r="AS30" s="627">
        <f t="shared" si="28"/>
        <v>1298</v>
      </c>
      <c r="AT30" s="627">
        <f t="shared" si="28"/>
        <v>4200</v>
      </c>
      <c r="AU30" s="627">
        <f t="shared" si="11"/>
        <v>0</v>
      </c>
      <c r="AV30" s="627">
        <f t="shared" si="12"/>
        <v>0</v>
      </c>
      <c r="AW30" s="627">
        <f t="shared" si="13"/>
        <v>0</v>
      </c>
      <c r="AX30" s="627">
        <f t="shared" si="14"/>
        <v>0</v>
      </c>
      <c r="AY30" s="627">
        <f t="shared" si="15"/>
        <v>33416.775000000001</v>
      </c>
      <c r="AZ30" s="627">
        <f t="shared" si="16"/>
        <v>33416.775000000001</v>
      </c>
      <c r="BA30" s="627">
        <v>1000</v>
      </c>
      <c r="BB30" s="658">
        <f>+Tabla2[[#This Row],[COSTO QUIMICA ]]/Tabla2[[#This Row],[VOLUMEN ENVIADO A RO (m3)]]</f>
        <v>105</v>
      </c>
    </row>
    <row r="31" spans="1:59" thickBot="1" x14ac:dyDescent="0.3">
      <c r="A31" s="647">
        <f>+A30</f>
        <v>46122</v>
      </c>
      <c r="B31" s="648">
        <f>DAY(Tabla2[[#This Row],[FECHA]])</f>
        <v>10</v>
      </c>
      <c r="C31" s="649" t="s">
        <v>30</v>
      </c>
      <c r="D31" s="115"/>
      <c r="E31" s="115"/>
      <c r="F31" s="115"/>
      <c r="G31" s="115"/>
      <c r="H31" s="115"/>
      <c r="I31" s="650">
        <f>Tabla2[[#This Row],[VOLUMEN ENVIADO A RO (m3)]]/Tabla2[[#This Row],[Q DE OPERACIÓN (m3/h)]]</f>
        <v>7.8010789473684206</v>
      </c>
      <c r="J31" s="124">
        <v>296.44099999999997</v>
      </c>
      <c r="K31" s="184">
        <v>38</v>
      </c>
      <c r="L31" s="184">
        <v>0</v>
      </c>
      <c r="M31" s="184">
        <v>0</v>
      </c>
      <c r="N31" s="184">
        <v>0</v>
      </c>
      <c r="O31" s="184">
        <v>0</v>
      </c>
      <c r="P31" s="184">
        <v>0</v>
      </c>
      <c r="Q31" s="124">
        <f t="shared" si="0"/>
        <v>0</v>
      </c>
      <c r="R31" s="124">
        <f t="shared" si="1"/>
        <v>0</v>
      </c>
      <c r="S31" s="124">
        <f t="shared" si="2"/>
        <v>0</v>
      </c>
      <c r="T31" s="124">
        <f t="shared" si="3"/>
        <v>0</v>
      </c>
      <c r="U31" s="124">
        <f t="shared" si="4"/>
        <v>0</v>
      </c>
      <c r="V31" s="124">
        <f t="shared" si="17"/>
        <v>0</v>
      </c>
      <c r="W31" s="124">
        <f t="shared" si="18"/>
        <v>0</v>
      </c>
      <c r="X31" s="124">
        <f t="shared" si="19"/>
        <v>0</v>
      </c>
      <c r="Y31" s="124">
        <f t="shared" si="20"/>
        <v>0</v>
      </c>
      <c r="Z31" s="124">
        <f t="shared" si="21"/>
        <v>0</v>
      </c>
      <c r="AA31" s="651">
        <v>1.18</v>
      </c>
      <c r="AB31" s="651">
        <v>1.28</v>
      </c>
      <c r="AC31" s="651">
        <v>1.2</v>
      </c>
      <c r="AD31" s="651">
        <v>1.53</v>
      </c>
      <c r="AE31" s="651">
        <v>1.2</v>
      </c>
      <c r="AF31" s="124">
        <f t="shared" si="22"/>
        <v>0</v>
      </c>
      <c r="AG31" s="124">
        <f t="shared" si="23"/>
        <v>0</v>
      </c>
      <c r="AH31" s="124">
        <f t="shared" si="24"/>
        <v>0</v>
      </c>
      <c r="AI31" s="124">
        <f t="shared" si="25"/>
        <v>0</v>
      </c>
      <c r="AJ31" s="124">
        <f t="shared" si="26"/>
        <v>0</v>
      </c>
      <c r="AK31" s="652">
        <f t="shared" si="6"/>
        <v>0</v>
      </c>
      <c r="AL31" s="652">
        <f t="shared" si="7"/>
        <v>0</v>
      </c>
      <c r="AM31" s="652">
        <f t="shared" si="8"/>
        <v>0</v>
      </c>
      <c r="AN31" s="652">
        <f t="shared" si="9"/>
        <v>0</v>
      </c>
      <c r="AO31" s="652">
        <f t="shared" si="10"/>
        <v>0</v>
      </c>
      <c r="AP31" s="653">
        <f t="shared" si="28"/>
        <v>1650</v>
      </c>
      <c r="AQ31" s="653">
        <f t="shared" si="28"/>
        <v>19160</v>
      </c>
      <c r="AR31" s="653">
        <f t="shared" si="28"/>
        <v>36239</v>
      </c>
      <c r="AS31" s="653">
        <f t="shared" si="28"/>
        <v>1298</v>
      </c>
      <c r="AT31" s="653">
        <f t="shared" si="28"/>
        <v>4200</v>
      </c>
      <c r="AU31" s="653">
        <f t="shared" si="11"/>
        <v>0</v>
      </c>
      <c r="AV31" s="653">
        <f t="shared" si="12"/>
        <v>0</v>
      </c>
      <c r="AW31" s="653">
        <f t="shared" si="13"/>
        <v>0</v>
      </c>
      <c r="AX31" s="653">
        <f t="shared" si="14"/>
        <v>0</v>
      </c>
      <c r="AY31" s="653">
        <f t="shared" si="15"/>
        <v>31126.304999999997</v>
      </c>
      <c r="AZ31" s="653">
        <f t="shared" si="16"/>
        <v>31126.304999999997</v>
      </c>
      <c r="BA31" s="653">
        <v>1000</v>
      </c>
      <c r="BB31" s="659">
        <f>+Tabla2[[#This Row],[COSTO QUIMICA ]]/Tabla2[[#This Row],[VOLUMEN ENVIADO A RO (m3)]]</f>
        <v>105</v>
      </c>
    </row>
    <row r="32" spans="1:59" ht="14.25" x14ac:dyDescent="0.25">
      <c r="A32" s="640">
        <f>+A31+1</f>
        <v>46123</v>
      </c>
      <c r="B32" s="641">
        <f>DAY(Tabla2[[#This Row],[FECHA]])</f>
        <v>11</v>
      </c>
      <c r="C32" s="642" t="s">
        <v>28</v>
      </c>
      <c r="D32" s="117"/>
      <c r="E32" s="117"/>
      <c r="F32" s="117"/>
      <c r="G32" s="117"/>
      <c r="H32" s="117"/>
      <c r="I32" s="643">
        <f>Tabla2[[#This Row],[VOLUMEN ENVIADO A RO (m3)]]/Tabla2[[#This Row],[Q DE OPERACIÓN (m3/h)]]</f>
        <v>8.0998157894736842</v>
      </c>
      <c r="J32" s="125">
        <v>307.79300000000001</v>
      </c>
      <c r="K32" s="182">
        <v>38</v>
      </c>
      <c r="L32" s="182">
        <v>0</v>
      </c>
      <c r="M32" s="182">
        <v>0</v>
      </c>
      <c r="N32" s="182">
        <v>0</v>
      </c>
      <c r="O32" s="182">
        <v>0</v>
      </c>
      <c r="P32" s="182">
        <v>0</v>
      </c>
      <c r="Q32" s="125">
        <f t="shared" si="0"/>
        <v>0</v>
      </c>
      <c r="R32" s="125">
        <f t="shared" si="1"/>
        <v>0</v>
      </c>
      <c r="S32" s="125">
        <f t="shared" si="2"/>
        <v>0</v>
      </c>
      <c r="T32" s="125">
        <f t="shared" si="3"/>
        <v>0</v>
      </c>
      <c r="U32" s="125">
        <f t="shared" si="4"/>
        <v>0</v>
      </c>
      <c r="V32" s="125">
        <f t="shared" si="17"/>
        <v>0</v>
      </c>
      <c r="W32" s="125">
        <f t="shared" si="18"/>
        <v>0</v>
      </c>
      <c r="X32" s="125">
        <f t="shared" si="19"/>
        <v>0</v>
      </c>
      <c r="Y32" s="125">
        <f t="shared" si="20"/>
        <v>0</v>
      </c>
      <c r="Z32" s="125">
        <f t="shared" si="21"/>
        <v>0</v>
      </c>
      <c r="AA32" s="644">
        <v>1.18</v>
      </c>
      <c r="AB32" s="644">
        <v>1.28</v>
      </c>
      <c r="AC32" s="644">
        <v>1.2</v>
      </c>
      <c r="AD32" s="644">
        <v>1.53</v>
      </c>
      <c r="AE32" s="644">
        <v>1.2</v>
      </c>
      <c r="AF32" s="125">
        <f t="shared" si="22"/>
        <v>0</v>
      </c>
      <c r="AG32" s="125">
        <f t="shared" si="23"/>
        <v>0</v>
      </c>
      <c r="AH32" s="125">
        <f t="shared" si="24"/>
        <v>0</v>
      </c>
      <c r="AI32" s="125">
        <f t="shared" si="25"/>
        <v>0</v>
      </c>
      <c r="AJ32" s="125">
        <f t="shared" si="26"/>
        <v>0</v>
      </c>
      <c r="AK32" s="617">
        <f t="shared" si="6"/>
        <v>0</v>
      </c>
      <c r="AL32" s="617">
        <f t="shared" si="7"/>
        <v>0</v>
      </c>
      <c r="AM32" s="617">
        <f t="shared" si="8"/>
        <v>0</v>
      </c>
      <c r="AN32" s="617">
        <f t="shared" si="9"/>
        <v>0</v>
      </c>
      <c r="AO32" s="617">
        <f t="shared" si="10"/>
        <v>0</v>
      </c>
      <c r="AP32" s="645">
        <f t="shared" si="28"/>
        <v>1650</v>
      </c>
      <c r="AQ32" s="645">
        <f t="shared" si="28"/>
        <v>19160</v>
      </c>
      <c r="AR32" s="645">
        <f t="shared" si="28"/>
        <v>36239</v>
      </c>
      <c r="AS32" s="645">
        <f t="shared" si="28"/>
        <v>1298</v>
      </c>
      <c r="AT32" s="645">
        <f t="shared" si="28"/>
        <v>4200</v>
      </c>
      <c r="AU32" s="645">
        <f t="shared" si="11"/>
        <v>0</v>
      </c>
      <c r="AV32" s="645">
        <f t="shared" si="12"/>
        <v>0</v>
      </c>
      <c r="AW32" s="645">
        <f t="shared" si="13"/>
        <v>0</v>
      </c>
      <c r="AX32" s="645">
        <f t="shared" si="14"/>
        <v>0</v>
      </c>
      <c r="AY32" s="645">
        <f t="shared" si="15"/>
        <v>32318.265000000003</v>
      </c>
      <c r="AZ32" s="645">
        <f t="shared" si="16"/>
        <v>32318.265000000003</v>
      </c>
      <c r="BA32" s="645">
        <v>1000</v>
      </c>
      <c r="BB32" s="657">
        <f>+Tabla2[[#This Row],[COSTO QUIMICA ]]/Tabla2[[#This Row],[VOLUMEN ENVIADO A RO (m3)]]</f>
        <v>105.00000000000001</v>
      </c>
    </row>
    <row r="33" spans="1:54" x14ac:dyDescent="0.25">
      <c r="A33" s="646">
        <f>+A32</f>
        <v>46123</v>
      </c>
      <c r="B33" s="610">
        <f>DAY(Tabla2[[#This Row],[FECHA]])</f>
        <v>11</v>
      </c>
      <c r="C33" s="628" t="s">
        <v>29</v>
      </c>
      <c r="D33" s="114"/>
      <c r="E33" s="114"/>
      <c r="F33" s="114"/>
      <c r="G33" s="114"/>
      <c r="H33" s="114"/>
      <c r="I33" s="625">
        <f>Tabla2[[#This Row],[VOLUMEN ENVIADO A RO (m3)]]/Tabla2[[#This Row],[Q DE OPERACIÓN (m3/h)]]</f>
        <v>2.8394117647058827</v>
      </c>
      <c r="J33" s="123">
        <v>96.54</v>
      </c>
      <c r="K33" s="183">
        <v>34</v>
      </c>
      <c r="L33" s="183">
        <v>0</v>
      </c>
      <c r="M33" s="183">
        <v>0</v>
      </c>
      <c r="N33" s="183">
        <v>0</v>
      </c>
      <c r="O33" s="183">
        <v>0</v>
      </c>
      <c r="P33" s="183">
        <v>0</v>
      </c>
      <c r="Q33" s="123">
        <f t="shared" si="0"/>
        <v>0</v>
      </c>
      <c r="R33" s="123">
        <f t="shared" si="1"/>
        <v>0</v>
      </c>
      <c r="S33" s="123">
        <f t="shared" si="2"/>
        <v>0</v>
      </c>
      <c r="T33" s="123">
        <f t="shared" si="3"/>
        <v>0</v>
      </c>
      <c r="U33" s="123">
        <f t="shared" si="4"/>
        <v>0</v>
      </c>
      <c r="V33" s="123">
        <f t="shared" si="17"/>
        <v>0</v>
      </c>
      <c r="W33" s="123">
        <f t="shared" si="18"/>
        <v>0</v>
      </c>
      <c r="X33" s="123">
        <f t="shared" si="19"/>
        <v>0</v>
      </c>
      <c r="Y33" s="123">
        <f t="shared" si="20"/>
        <v>0</v>
      </c>
      <c r="Z33" s="123">
        <f t="shared" si="21"/>
        <v>0</v>
      </c>
      <c r="AA33" s="626">
        <v>1.18</v>
      </c>
      <c r="AB33" s="626">
        <v>1.28</v>
      </c>
      <c r="AC33" s="626">
        <v>1.2</v>
      </c>
      <c r="AD33" s="626">
        <v>1.53</v>
      </c>
      <c r="AE33" s="626">
        <v>1.2</v>
      </c>
      <c r="AF33" s="123">
        <f t="shared" si="22"/>
        <v>0</v>
      </c>
      <c r="AG33" s="123">
        <f t="shared" si="23"/>
        <v>0</v>
      </c>
      <c r="AH33" s="123">
        <f t="shared" si="24"/>
        <v>0</v>
      </c>
      <c r="AI33" s="123">
        <f t="shared" si="25"/>
        <v>0</v>
      </c>
      <c r="AJ33" s="123">
        <f t="shared" si="26"/>
        <v>0</v>
      </c>
      <c r="AK33" s="615">
        <f t="shared" si="6"/>
        <v>0</v>
      </c>
      <c r="AL33" s="615">
        <f t="shared" si="7"/>
        <v>0</v>
      </c>
      <c r="AM33" s="615">
        <f t="shared" si="8"/>
        <v>0</v>
      </c>
      <c r="AN33" s="615">
        <f t="shared" si="9"/>
        <v>0</v>
      </c>
      <c r="AO33" s="615">
        <f t="shared" si="10"/>
        <v>0</v>
      </c>
      <c r="AP33" s="627">
        <f t="shared" si="28"/>
        <v>1650</v>
      </c>
      <c r="AQ33" s="627">
        <f t="shared" si="28"/>
        <v>19160</v>
      </c>
      <c r="AR33" s="627">
        <f t="shared" si="28"/>
        <v>36239</v>
      </c>
      <c r="AS33" s="627">
        <f t="shared" si="28"/>
        <v>1298</v>
      </c>
      <c r="AT33" s="627">
        <f t="shared" si="28"/>
        <v>4200</v>
      </c>
      <c r="AU33" s="627">
        <f t="shared" si="11"/>
        <v>0</v>
      </c>
      <c r="AV33" s="627">
        <f t="shared" si="12"/>
        <v>0</v>
      </c>
      <c r="AW33" s="627">
        <f t="shared" si="13"/>
        <v>0</v>
      </c>
      <c r="AX33" s="627">
        <f t="shared" si="14"/>
        <v>0</v>
      </c>
      <c r="AY33" s="627">
        <f t="shared" si="15"/>
        <v>10136.700000000003</v>
      </c>
      <c r="AZ33" s="627">
        <f t="shared" si="16"/>
        <v>10136.700000000003</v>
      </c>
      <c r="BA33" s="627">
        <v>1000</v>
      </c>
      <c r="BB33" s="658">
        <f>+Tabla2[[#This Row],[COSTO QUIMICA ]]/Tabla2[[#This Row],[VOLUMEN ENVIADO A RO (m3)]]</f>
        <v>105.00000000000001</v>
      </c>
    </row>
    <row r="34" spans="1:54" thickBot="1" x14ac:dyDescent="0.3">
      <c r="A34" s="647">
        <f>+A33</f>
        <v>46123</v>
      </c>
      <c r="B34" s="648">
        <f>DAY(Tabla2[[#This Row],[FECHA]])</f>
        <v>11</v>
      </c>
      <c r="C34" s="649" t="s">
        <v>30</v>
      </c>
      <c r="D34" s="115"/>
      <c r="E34" s="115"/>
      <c r="F34" s="115"/>
      <c r="G34" s="115"/>
      <c r="H34" s="115"/>
      <c r="I34" s="650">
        <f>Tabla2[[#This Row],[VOLUMEN ENVIADO A RO (m3)]]/Tabla2[[#This Row],[Q DE OPERACIÓN (m3/h)]]</f>
        <v>0</v>
      </c>
      <c r="J34" s="124">
        <v>0</v>
      </c>
      <c r="K34" s="184">
        <v>34</v>
      </c>
      <c r="L34" s="184">
        <v>0</v>
      </c>
      <c r="M34" s="184">
        <v>0</v>
      </c>
      <c r="N34" s="184">
        <v>0</v>
      </c>
      <c r="O34" s="184">
        <v>0</v>
      </c>
      <c r="P34" s="184">
        <v>0</v>
      </c>
      <c r="Q34" s="124">
        <f t="shared" ref="Q34:Q65" si="29">L34*(1000/114)</f>
        <v>0</v>
      </c>
      <c r="R34" s="124">
        <f t="shared" ref="R34:R65" si="30">M34*(1000/114)</f>
        <v>0</v>
      </c>
      <c r="S34" s="124">
        <f t="shared" ref="S34:S65" si="31">N34*(1000/114)</f>
        <v>0</v>
      </c>
      <c r="T34" s="124">
        <f t="shared" ref="T34:T65" si="32">O34*(1000/114)</f>
        <v>0</v>
      </c>
      <c r="U34" s="124">
        <f t="shared" ref="U34:U65" si="33">P34*(1000/114)</f>
        <v>0</v>
      </c>
      <c r="V34" s="124">
        <f t="shared" si="17"/>
        <v>0</v>
      </c>
      <c r="W34" s="124">
        <f t="shared" si="18"/>
        <v>0</v>
      </c>
      <c r="X34" s="124">
        <f t="shared" si="19"/>
        <v>0</v>
      </c>
      <c r="Y34" s="124">
        <f t="shared" si="20"/>
        <v>0</v>
      </c>
      <c r="Z34" s="124">
        <f t="shared" si="21"/>
        <v>0</v>
      </c>
      <c r="AA34" s="651">
        <v>1.18</v>
      </c>
      <c r="AB34" s="651">
        <v>1.28</v>
      </c>
      <c r="AC34" s="651">
        <v>1.2</v>
      </c>
      <c r="AD34" s="651">
        <v>1.53</v>
      </c>
      <c r="AE34" s="651">
        <v>1.2</v>
      </c>
      <c r="AF34" s="124">
        <f t="shared" si="22"/>
        <v>0</v>
      </c>
      <c r="AG34" s="124">
        <f t="shared" si="23"/>
        <v>0</v>
      </c>
      <c r="AH34" s="124">
        <f t="shared" si="24"/>
        <v>0</v>
      </c>
      <c r="AI34" s="124">
        <f t="shared" si="25"/>
        <v>0</v>
      </c>
      <c r="AJ34" s="124">
        <f t="shared" si="26"/>
        <v>0</v>
      </c>
      <c r="AK34" s="652" t="e">
        <f t="shared" ref="AK34:AK65" si="34">(AF34*1000)/$J34</f>
        <v>#DIV/0!</v>
      </c>
      <c r="AL34" s="652" t="e">
        <f t="shared" ref="AL34:AL65" si="35">(AG34*1000)/$J34</f>
        <v>#DIV/0!</v>
      </c>
      <c r="AM34" s="652" t="e">
        <f t="shared" ref="AM34:AM65" si="36">(AH34*1000)/$J34</f>
        <v>#DIV/0!</v>
      </c>
      <c r="AN34" s="652" t="e">
        <f t="shared" ref="AN34:AN65" si="37">(AI34*1000)/$J34</f>
        <v>#DIV/0!</v>
      </c>
      <c r="AO34" s="652" t="e">
        <f t="shared" ref="AO34:AO65" si="38">(AJ34*1000)/$J34</f>
        <v>#DIV/0!</v>
      </c>
      <c r="AP34" s="653">
        <f t="shared" si="28"/>
        <v>1650</v>
      </c>
      <c r="AQ34" s="653">
        <f t="shared" si="28"/>
        <v>19160</v>
      </c>
      <c r="AR34" s="653">
        <f t="shared" si="28"/>
        <v>36239</v>
      </c>
      <c r="AS34" s="653">
        <f t="shared" si="28"/>
        <v>1298</v>
      </c>
      <c r="AT34" s="653">
        <f t="shared" si="28"/>
        <v>4200</v>
      </c>
      <c r="AU34" s="653">
        <f t="shared" ref="AU34:AU65" si="39">AP34*(AG34*0.8)</f>
        <v>0</v>
      </c>
      <c r="AV34" s="653">
        <f t="shared" ref="AV34:AV65" si="40">AQ34*(AH34*0.012)</f>
        <v>0</v>
      </c>
      <c r="AW34" s="653">
        <f t="shared" ref="AW34:AW65" si="41">AR34*(AI34*0.044)</f>
        <v>0</v>
      </c>
      <c r="AX34" s="653">
        <f t="shared" ref="AX34:AX65" si="42">AS34*AJ34</f>
        <v>0</v>
      </c>
      <c r="AY34" s="653">
        <f t="shared" ref="AY34:AY65" si="43">AT34*(J34*0.025)</f>
        <v>0</v>
      </c>
      <c r="AZ34" s="653">
        <f t="shared" ref="AZ34:AZ65" si="44">AU34+AV34+AW34+AX34+AY34</f>
        <v>0</v>
      </c>
      <c r="BA34" s="653">
        <v>1000</v>
      </c>
      <c r="BB34" s="659" t="e">
        <f>+Tabla2[[#This Row],[COSTO QUIMICA ]]/Tabla2[[#This Row],[VOLUMEN ENVIADO A RO (m3)]]</f>
        <v>#DIV/0!</v>
      </c>
    </row>
    <row r="35" spans="1:54" ht="14.25" x14ac:dyDescent="0.25">
      <c r="A35" s="640">
        <f>+A34+1</f>
        <v>46124</v>
      </c>
      <c r="B35" s="641">
        <f>DAY(Tabla2[[#This Row],[FECHA]])</f>
        <v>12</v>
      </c>
      <c r="C35" s="642" t="s">
        <v>28</v>
      </c>
      <c r="D35" s="117"/>
      <c r="E35" s="117"/>
      <c r="F35" s="117"/>
      <c r="G35" s="117"/>
      <c r="H35" s="117"/>
      <c r="I35" s="643">
        <f>Tabla2[[#This Row],[VOLUMEN ENVIADO A RO (m3)]]/Tabla2[[#This Row],[Q DE OPERACIÓN (m3/h)]]</f>
        <v>0</v>
      </c>
      <c r="J35" s="125">
        <v>0</v>
      </c>
      <c r="K35" s="182">
        <v>34</v>
      </c>
      <c r="L35" s="182">
        <v>0</v>
      </c>
      <c r="M35" s="182">
        <v>0</v>
      </c>
      <c r="N35" s="182">
        <v>0</v>
      </c>
      <c r="O35" s="182">
        <v>0</v>
      </c>
      <c r="P35" s="182">
        <v>0</v>
      </c>
      <c r="Q35" s="125">
        <f t="shared" si="29"/>
        <v>0</v>
      </c>
      <c r="R35" s="125">
        <f t="shared" si="30"/>
        <v>0</v>
      </c>
      <c r="S35" s="125">
        <f t="shared" si="31"/>
        <v>0</v>
      </c>
      <c r="T35" s="125">
        <f t="shared" si="32"/>
        <v>0</v>
      </c>
      <c r="U35" s="125">
        <f t="shared" si="33"/>
        <v>0</v>
      </c>
      <c r="V35" s="125">
        <f t="shared" si="17"/>
        <v>0</v>
      </c>
      <c r="W35" s="125">
        <f t="shared" si="18"/>
        <v>0</v>
      </c>
      <c r="X35" s="125">
        <f t="shared" si="19"/>
        <v>0</v>
      </c>
      <c r="Y35" s="125">
        <f t="shared" si="20"/>
        <v>0</v>
      </c>
      <c r="Z35" s="125">
        <f t="shared" si="21"/>
        <v>0</v>
      </c>
      <c r="AA35" s="644">
        <v>1.18</v>
      </c>
      <c r="AB35" s="644">
        <v>1.28</v>
      </c>
      <c r="AC35" s="644">
        <v>1.2</v>
      </c>
      <c r="AD35" s="644">
        <v>1.53</v>
      </c>
      <c r="AE35" s="644">
        <v>1.2</v>
      </c>
      <c r="AF35" s="125">
        <f t="shared" si="22"/>
        <v>0</v>
      </c>
      <c r="AG35" s="125">
        <f t="shared" si="23"/>
        <v>0</v>
      </c>
      <c r="AH35" s="125">
        <f t="shared" si="24"/>
        <v>0</v>
      </c>
      <c r="AI35" s="125">
        <f t="shared" si="25"/>
        <v>0</v>
      </c>
      <c r="AJ35" s="125">
        <f t="shared" si="26"/>
        <v>0</v>
      </c>
      <c r="AK35" s="617" t="e">
        <f t="shared" si="34"/>
        <v>#DIV/0!</v>
      </c>
      <c r="AL35" s="617" t="e">
        <f t="shared" si="35"/>
        <v>#DIV/0!</v>
      </c>
      <c r="AM35" s="617" t="e">
        <f t="shared" si="36"/>
        <v>#DIV/0!</v>
      </c>
      <c r="AN35" s="617" t="e">
        <f t="shared" si="37"/>
        <v>#DIV/0!</v>
      </c>
      <c r="AO35" s="617" t="e">
        <f t="shared" si="38"/>
        <v>#DIV/0!</v>
      </c>
      <c r="AP35" s="645">
        <f t="shared" ref="AP35:AT50" si="45">AP34</f>
        <v>1650</v>
      </c>
      <c r="AQ35" s="645">
        <f t="shared" si="45"/>
        <v>19160</v>
      </c>
      <c r="AR35" s="645">
        <f t="shared" si="45"/>
        <v>36239</v>
      </c>
      <c r="AS35" s="645">
        <f t="shared" si="45"/>
        <v>1298</v>
      </c>
      <c r="AT35" s="645">
        <f t="shared" si="45"/>
        <v>4200</v>
      </c>
      <c r="AU35" s="645">
        <f t="shared" si="39"/>
        <v>0</v>
      </c>
      <c r="AV35" s="645">
        <f t="shared" si="40"/>
        <v>0</v>
      </c>
      <c r="AW35" s="645">
        <f t="shared" si="41"/>
        <v>0</v>
      </c>
      <c r="AX35" s="645">
        <f t="shared" si="42"/>
        <v>0</v>
      </c>
      <c r="AY35" s="645">
        <f t="shared" si="43"/>
        <v>0</v>
      </c>
      <c r="AZ35" s="645">
        <f t="shared" si="44"/>
        <v>0</v>
      </c>
      <c r="BA35" s="645">
        <v>1000</v>
      </c>
      <c r="BB35" s="657" t="e">
        <f>+Tabla2[[#This Row],[COSTO QUIMICA ]]/Tabla2[[#This Row],[VOLUMEN ENVIADO A RO (m3)]]</f>
        <v>#DIV/0!</v>
      </c>
    </row>
    <row r="36" spans="1:54" x14ac:dyDescent="0.25">
      <c r="A36" s="646">
        <f>+A35</f>
        <v>46124</v>
      </c>
      <c r="B36" s="610">
        <f>DAY(Tabla2[[#This Row],[FECHA]])</f>
        <v>12</v>
      </c>
      <c r="C36" s="628" t="s">
        <v>29</v>
      </c>
      <c r="D36" s="114"/>
      <c r="E36" s="114"/>
      <c r="F36" s="114"/>
      <c r="G36" s="114"/>
      <c r="H36" s="114"/>
      <c r="I36" s="625">
        <f>Tabla2[[#This Row],[VOLUMEN ENVIADO A RO (m3)]]/Tabla2[[#This Row],[Q DE OPERACIÓN (m3/h)]]</f>
        <v>0</v>
      </c>
      <c r="J36" s="123">
        <v>0</v>
      </c>
      <c r="K36" s="183">
        <v>34</v>
      </c>
      <c r="L36" s="183">
        <v>0</v>
      </c>
      <c r="M36" s="183">
        <v>0</v>
      </c>
      <c r="N36" s="183">
        <v>0</v>
      </c>
      <c r="O36" s="183">
        <v>0</v>
      </c>
      <c r="P36" s="183">
        <v>0</v>
      </c>
      <c r="Q36" s="123">
        <f t="shared" si="29"/>
        <v>0</v>
      </c>
      <c r="R36" s="123">
        <f t="shared" si="30"/>
        <v>0</v>
      </c>
      <c r="S36" s="123">
        <f t="shared" si="31"/>
        <v>0</v>
      </c>
      <c r="T36" s="123">
        <f t="shared" si="32"/>
        <v>0</v>
      </c>
      <c r="U36" s="123">
        <f t="shared" si="33"/>
        <v>0</v>
      </c>
      <c r="V36" s="123">
        <f t="shared" si="17"/>
        <v>0</v>
      </c>
      <c r="W36" s="123">
        <f t="shared" si="18"/>
        <v>0</v>
      </c>
      <c r="X36" s="123">
        <f t="shared" si="19"/>
        <v>0</v>
      </c>
      <c r="Y36" s="123">
        <f t="shared" si="20"/>
        <v>0</v>
      </c>
      <c r="Z36" s="123">
        <f t="shared" si="21"/>
        <v>0</v>
      </c>
      <c r="AA36" s="626">
        <v>1.18</v>
      </c>
      <c r="AB36" s="626">
        <v>1.28</v>
      </c>
      <c r="AC36" s="626">
        <v>1.2</v>
      </c>
      <c r="AD36" s="626">
        <v>1.53</v>
      </c>
      <c r="AE36" s="626">
        <v>1.2</v>
      </c>
      <c r="AF36" s="123">
        <f t="shared" si="22"/>
        <v>0</v>
      </c>
      <c r="AG36" s="123">
        <f t="shared" si="23"/>
        <v>0</v>
      </c>
      <c r="AH36" s="123">
        <f t="shared" si="24"/>
        <v>0</v>
      </c>
      <c r="AI36" s="123">
        <f t="shared" si="25"/>
        <v>0</v>
      </c>
      <c r="AJ36" s="123">
        <f t="shared" si="26"/>
        <v>0</v>
      </c>
      <c r="AK36" s="615" t="e">
        <f t="shared" si="34"/>
        <v>#DIV/0!</v>
      </c>
      <c r="AL36" s="615" t="e">
        <f t="shared" si="35"/>
        <v>#DIV/0!</v>
      </c>
      <c r="AM36" s="615" t="e">
        <f t="shared" si="36"/>
        <v>#DIV/0!</v>
      </c>
      <c r="AN36" s="615" t="e">
        <f t="shared" si="37"/>
        <v>#DIV/0!</v>
      </c>
      <c r="AO36" s="615" t="e">
        <f t="shared" si="38"/>
        <v>#DIV/0!</v>
      </c>
      <c r="AP36" s="627">
        <f t="shared" si="45"/>
        <v>1650</v>
      </c>
      <c r="AQ36" s="627">
        <f t="shared" si="45"/>
        <v>19160</v>
      </c>
      <c r="AR36" s="627">
        <f t="shared" si="45"/>
        <v>36239</v>
      </c>
      <c r="AS36" s="627">
        <f t="shared" si="45"/>
        <v>1298</v>
      </c>
      <c r="AT36" s="627">
        <f t="shared" si="45"/>
        <v>4200</v>
      </c>
      <c r="AU36" s="627">
        <f t="shared" si="39"/>
        <v>0</v>
      </c>
      <c r="AV36" s="627">
        <f t="shared" si="40"/>
        <v>0</v>
      </c>
      <c r="AW36" s="627">
        <f t="shared" si="41"/>
        <v>0</v>
      </c>
      <c r="AX36" s="627">
        <f t="shared" si="42"/>
        <v>0</v>
      </c>
      <c r="AY36" s="627">
        <f t="shared" si="43"/>
        <v>0</v>
      </c>
      <c r="AZ36" s="627">
        <f t="shared" si="44"/>
        <v>0</v>
      </c>
      <c r="BA36" s="627">
        <v>1000</v>
      </c>
      <c r="BB36" s="658" t="e">
        <f>+Tabla2[[#This Row],[COSTO QUIMICA ]]/Tabla2[[#This Row],[VOLUMEN ENVIADO A RO (m3)]]</f>
        <v>#DIV/0!</v>
      </c>
    </row>
    <row r="37" spans="1:54" thickBot="1" x14ac:dyDescent="0.3">
      <c r="A37" s="647">
        <f>+A36</f>
        <v>46124</v>
      </c>
      <c r="B37" s="648">
        <f>DAY(Tabla2[[#This Row],[FECHA]])</f>
        <v>12</v>
      </c>
      <c r="C37" s="649" t="s">
        <v>30</v>
      </c>
      <c r="D37" s="115"/>
      <c r="E37" s="115">
        <v>0</v>
      </c>
      <c r="F37" s="115">
        <v>0</v>
      </c>
      <c r="G37" s="115"/>
      <c r="H37" s="115"/>
      <c r="I37" s="650">
        <f>Tabla2[[#This Row],[VOLUMEN ENVIADO A RO (m3)]]/Tabla2[[#This Row],[Q DE OPERACIÓN (m3/h)]]</f>
        <v>0</v>
      </c>
      <c r="J37" s="124">
        <v>0</v>
      </c>
      <c r="K37" s="184">
        <v>34</v>
      </c>
      <c r="L37" s="184">
        <v>0</v>
      </c>
      <c r="M37" s="184">
        <v>0</v>
      </c>
      <c r="N37" s="184">
        <v>0</v>
      </c>
      <c r="O37" s="184">
        <v>0</v>
      </c>
      <c r="P37" s="184">
        <v>0</v>
      </c>
      <c r="Q37" s="124">
        <f t="shared" si="29"/>
        <v>0</v>
      </c>
      <c r="R37" s="124">
        <f t="shared" si="30"/>
        <v>0</v>
      </c>
      <c r="S37" s="124">
        <f t="shared" si="31"/>
        <v>0</v>
      </c>
      <c r="T37" s="124">
        <f t="shared" si="32"/>
        <v>0</v>
      </c>
      <c r="U37" s="124">
        <f t="shared" si="33"/>
        <v>0</v>
      </c>
      <c r="V37" s="124">
        <f t="shared" si="17"/>
        <v>0</v>
      </c>
      <c r="W37" s="124">
        <f t="shared" si="18"/>
        <v>0</v>
      </c>
      <c r="X37" s="124">
        <f t="shared" si="19"/>
        <v>0</v>
      </c>
      <c r="Y37" s="124">
        <f t="shared" si="20"/>
        <v>0</v>
      </c>
      <c r="Z37" s="124">
        <f t="shared" si="21"/>
        <v>0</v>
      </c>
      <c r="AA37" s="651">
        <v>1.18</v>
      </c>
      <c r="AB37" s="651">
        <v>1.28</v>
      </c>
      <c r="AC37" s="651">
        <v>1.2</v>
      </c>
      <c r="AD37" s="651">
        <v>1.53</v>
      </c>
      <c r="AE37" s="651">
        <v>1.2</v>
      </c>
      <c r="AF37" s="124">
        <f t="shared" si="22"/>
        <v>0</v>
      </c>
      <c r="AG37" s="124">
        <f t="shared" si="23"/>
        <v>0</v>
      </c>
      <c r="AH37" s="124">
        <f t="shared" si="24"/>
        <v>0</v>
      </c>
      <c r="AI37" s="124">
        <f t="shared" si="25"/>
        <v>0</v>
      </c>
      <c r="AJ37" s="124">
        <f t="shared" si="26"/>
        <v>0</v>
      </c>
      <c r="AK37" s="652" t="e">
        <f t="shared" si="34"/>
        <v>#DIV/0!</v>
      </c>
      <c r="AL37" s="652" t="e">
        <f t="shared" si="35"/>
        <v>#DIV/0!</v>
      </c>
      <c r="AM37" s="652" t="e">
        <f t="shared" si="36"/>
        <v>#DIV/0!</v>
      </c>
      <c r="AN37" s="652" t="e">
        <f t="shared" si="37"/>
        <v>#DIV/0!</v>
      </c>
      <c r="AO37" s="652" t="e">
        <f t="shared" si="38"/>
        <v>#DIV/0!</v>
      </c>
      <c r="AP37" s="653">
        <f t="shared" si="45"/>
        <v>1650</v>
      </c>
      <c r="AQ37" s="653">
        <f t="shared" si="45"/>
        <v>19160</v>
      </c>
      <c r="AR37" s="653">
        <f t="shared" si="45"/>
        <v>36239</v>
      </c>
      <c r="AS37" s="653">
        <f t="shared" si="45"/>
        <v>1298</v>
      </c>
      <c r="AT37" s="653">
        <f t="shared" si="45"/>
        <v>4200</v>
      </c>
      <c r="AU37" s="653">
        <f t="shared" si="39"/>
        <v>0</v>
      </c>
      <c r="AV37" s="653">
        <f t="shared" si="40"/>
        <v>0</v>
      </c>
      <c r="AW37" s="653">
        <f t="shared" si="41"/>
        <v>0</v>
      </c>
      <c r="AX37" s="653">
        <f t="shared" si="42"/>
        <v>0</v>
      </c>
      <c r="AY37" s="653">
        <f t="shared" si="43"/>
        <v>0</v>
      </c>
      <c r="AZ37" s="653">
        <f t="shared" si="44"/>
        <v>0</v>
      </c>
      <c r="BA37" s="653">
        <v>1000</v>
      </c>
      <c r="BB37" s="659" t="e">
        <f>+Tabla2[[#This Row],[COSTO QUIMICA ]]/Tabla2[[#This Row],[VOLUMEN ENVIADO A RO (m3)]]</f>
        <v>#DIV/0!</v>
      </c>
    </row>
    <row r="38" spans="1:54" ht="14.25" x14ac:dyDescent="0.25">
      <c r="A38" s="640">
        <f>+A37+1</f>
        <v>46125</v>
      </c>
      <c r="B38" s="641">
        <f>DAY(Tabla2[[#This Row],[FECHA]])</f>
        <v>13</v>
      </c>
      <c r="C38" s="642" t="s">
        <v>28</v>
      </c>
      <c r="D38" s="117"/>
      <c r="E38" s="117"/>
      <c r="F38" s="117"/>
      <c r="G38" s="117"/>
      <c r="H38" s="117"/>
      <c r="I38" s="643">
        <f>Tabla2[[#This Row],[VOLUMEN ENVIADO A RO (m3)]]/Tabla2[[#This Row],[Q DE OPERACIÓN (m3/h)]]</f>
        <v>0</v>
      </c>
      <c r="J38" s="125">
        <v>0</v>
      </c>
      <c r="K38" s="182">
        <v>34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25">
        <f t="shared" si="29"/>
        <v>0</v>
      </c>
      <c r="R38" s="125">
        <f t="shared" si="30"/>
        <v>0</v>
      </c>
      <c r="S38" s="125">
        <f t="shared" si="31"/>
        <v>0</v>
      </c>
      <c r="T38" s="125">
        <f t="shared" si="32"/>
        <v>0</v>
      </c>
      <c r="U38" s="125">
        <f t="shared" si="33"/>
        <v>0</v>
      </c>
      <c r="V38" s="125">
        <f t="shared" si="17"/>
        <v>0</v>
      </c>
      <c r="W38" s="125">
        <f t="shared" si="18"/>
        <v>0</v>
      </c>
      <c r="X38" s="125">
        <f t="shared" si="19"/>
        <v>0</v>
      </c>
      <c r="Y38" s="125">
        <f t="shared" si="20"/>
        <v>0</v>
      </c>
      <c r="Z38" s="125">
        <f t="shared" si="21"/>
        <v>0</v>
      </c>
      <c r="AA38" s="644">
        <v>1.18</v>
      </c>
      <c r="AB38" s="644">
        <v>1.28</v>
      </c>
      <c r="AC38" s="644">
        <v>1.2</v>
      </c>
      <c r="AD38" s="644">
        <v>1.53</v>
      </c>
      <c r="AE38" s="644">
        <v>1.2</v>
      </c>
      <c r="AF38" s="125">
        <f t="shared" si="22"/>
        <v>0</v>
      </c>
      <c r="AG38" s="125">
        <f t="shared" si="23"/>
        <v>0</v>
      </c>
      <c r="AH38" s="125">
        <f t="shared" si="24"/>
        <v>0</v>
      </c>
      <c r="AI38" s="125">
        <f t="shared" si="25"/>
        <v>0</v>
      </c>
      <c r="AJ38" s="125">
        <f t="shared" si="26"/>
        <v>0</v>
      </c>
      <c r="AK38" s="617" t="e">
        <f t="shared" si="34"/>
        <v>#DIV/0!</v>
      </c>
      <c r="AL38" s="617" t="e">
        <f t="shared" si="35"/>
        <v>#DIV/0!</v>
      </c>
      <c r="AM38" s="617" t="e">
        <f t="shared" si="36"/>
        <v>#DIV/0!</v>
      </c>
      <c r="AN38" s="617" t="e">
        <f t="shared" si="37"/>
        <v>#DIV/0!</v>
      </c>
      <c r="AO38" s="617" t="e">
        <f t="shared" si="38"/>
        <v>#DIV/0!</v>
      </c>
      <c r="AP38" s="645">
        <f t="shared" si="45"/>
        <v>1650</v>
      </c>
      <c r="AQ38" s="645">
        <f t="shared" si="45"/>
        <v>19160</v>
      </c>
      <c r="AR38" s="645">
        <f t="shared" si="45"/>
        <v>36239</v>
      </c>
      <c r="AS38" s="645">
        <f t="shared" si="45"/>
        <v>1298</v>
      </c>
      <c r="AT38" s="645">
        <f t="shared" si="45"/>
        <v>4200</v>
      </c>
      <c r="AU38" s="645">
        <f t="shared" si="39"/>
        <v>0</v>
      </c>
      <c r="AV38" s="645">
        <f t="shared" si="40"/>
        <v>0</v>
      </c>
      <c r="AW38" s="645">
        <f t="shared" si="41"/>
        <v>0</v>
      </c>
      <c r="AX38" s="645">
        <f t="shared" si="42"/>
        <v>0</v>
      </c>
      <c r="AY38" s="645">
        <f t="shared" si="43"/>
        <v>0</v>
      </c>
      <c r="AZ38" s="645">
        <f t="shared" si="44"/>
        <v>0</v>
      </c>
      <c r="BA38" s="645">
        <v>1000</v>
      </c>
      <c r="BB38" s="657" t="e">
        <f>+Tabla2[[#This Row],[COSTO QUIMICA ]]/Tabla2[[#This Row],[VOLUMEN ENVIADO A RO (m3)]]</f>
        <v>#DIV/0!</v>
      </c>
    </row>
    <row r="39" spans="1:54" x14ac:dyDescent="0.25">
      <c r="A39" s="646">
        <f>+A38</f>
        <v>46125</v>
      </c>
      <c r="B39" s="610">
        <f>DAY(Tabla2[[#This Row],[FECHA]])</f>
        <v>13</v>
      </c>
      <c r="C39" s="628" t="s">
        <v>29</v>
      </c>
      <c r="D39" s="114"/>
      <c r="E39" s="114"/>
      <c r="F39" s="114"/>
      <c r="G39" s="114"/>
      <c r="H39" s="114"/>
      <c r="I39" s="625">
        <f>Tabla2[[#This Row],[VOLUMEN ENVIADO A RO (m3)]]/Tabla2[[#This Row],[Q DE OPERACIÓN (m3/h)]]</f>
        <v>0</v>
      </c>
      <c r="J39" s="123">
        <v>0</v>
      </c>
      <c r="K39" s="183">
        <v>41</v>
      </c>
      <c r="L39" s="183">
        <v>0</v>
      </c>
      <c r="M39" s="183">
        <v>0</v>
      </c>
      <c r="N39" s="183">
        <v>0</v>
      </c>
      <c r="O39" s="183">
        <v>0</v>
      </c>
      <c r="P39" s="183">
        <v>0</v>
      </c>
      <c r="Q39" s="123">
        <f t="shared" si="29"/>
        <v>0</v>
      </c>
      <c r="R39" s="123">
        <f t="shared" si="30"/>
        <v>0</v>
      </c>
      <c r="S39" s="123">
        <f t="shared" si="31"/>
        <v>0</v>
      </c>
      <c r="T39" s="123">
        <f t="shared" si="32"/>
        <v>0</v>
      </c>
      <c r="U39" s="123">
        <f t="shared" si="33"/>
        <v>0</v>
      </c>
      <c r="V39" s="123">
        <f t="shared" si="17"/>
        <v>0</v>
      </c>
      <c r="W39" s="123">
        <f t="shared" si="18"/>
        <v>0</v>
      </c>
      <c r="X39" s="123">
        <f t="shared" si="19"/>
        <v>0</v>
      </c>
      <c r="Y39" s="123">
        <f t="shared" si="20"/>
        <v>0</v>
      </c>
      <c r="Z39" s="123">
        <f t="shared" si="21"/>
        <v>0</v>
      </c>
      <c r="AA39" s="626">
        <v>1.18</v>
      </c>
      <c r="AB39" s="626">
        <v>1.28</v>
      </c>
      <c r="AC39" s="626">
        <v>1.2</v>
      </c>
      <c r="AD39" s="626">
        <v>1.53</v>
      </c>
      <c r="AE39" s="626">
        <v>1.2</v>
      </c>
      <c r="AF39" s="123">
        <f t="shared" si="22"/>
        <v>0</v>
      </c>
      <c r="AG39" s="123">
        <f t="shared" si="23"/>
        <v>0</v>
      </c>
      <c r="AH39" s="123">
        <f t="shared" si="24"/>
        <v>0</v>
      </c>
      <c r="AI39" s="123">
        <f t="shared" si="25"/>
        <v>0</v>
      </c>
      <c r="AJ39" s="123">
        <f t="shared" si="26"/>
        <v>0</v>
      </c>
      <c r="AK39" s="615" t="e">
        <f t="shared" si="34"/>
        <v>#DIV/0!</v>
      </c>
      <c r="AL39" s="615" t="e">
        <f t="shared" si="35"/>
        <v>#DIV/0!</v>
      </c>
      <c r="AM39" s="615" t="e">
        <f t="shared" si="36"/>
        <v>#DIV/0!</v>
      </c>
      <c r="AN39" s="615" t="e">
        <f t="shared" si="37"/>
        <v>#DIV/0!</v>
      </c>
      <c r="AO39" s="615" t="e">
        <f t="shared" si="38"/>
        <v>#DIV/0!</v>
      </c>
      <c r="AP39" s="627">
        <f t="shared" si="45"/>
        <v>1650</v>
      </c>
      <c r="AQ39" s="627">
        <f t="shared" si="45"/>
        <v>19160</v>
      </c>
      <c r="AR39" s="627">
        <f t="shared" si="45"/>
        <v>36239</v>
      </c>
      <c r="AS39" s="627">
        <f t="shared" si="45"/>
        <v>1298</v>
      </c>
      <c r="AT39" s="627">
        <f t="shared" si="45"/>
        <v>4200</v>
      </c>
      <c r="AU39" s="627">
        <f t="shared" si="39"/>
        <v>0</v>
      </c>
      <c r="AV39" s="627">
        <f t="shared" si="40"/>
        <v>0</v>
      </c>
      <c r="AW39" s="627">
        <f t="shared" si="41"/>
        <v>0</v>
      </c>
      <c r="AX39" s="627">
        <f t="shared" si="42"/>
        <v>0</v>
      </c>
      <c r="AY39" s="627">
        <f t="shared" si="43"/>
        <v>0</v>
      </c>
      <c r="AZ39" s="627">
        <f t="shared" si="44"/>
        <v>0</v>
      </c>
      <c r="BA39" s="627">
        <v>1000</v>
      </c>
      <c r="BB39" s="658" t="e">
        <f>+Tabla2[[#This Row],[COSTO QUIMICA ]]/Tabla2[[#This Row],[VOLUMEN ENVIADO A RO (m3)]]</f>
        <v>#DIV/0!</v>
      </c>
    </row>
    <row r="40" spans="1:54" thickBot="1" x14ac:dyDescent="0.3">
      <c r="A40" s="647">
        <f>+A39</f>
        <v>46125</v>
      </c>
      <c r="B40" s="648">
        <f>DAY(Tabla2[[#This Row],[FECHA]])</f>
        <v>13</v>
      </c>
      <c r="C40" s="649" t="s">
        <v>30</v>
      </c>
      <c r="D40" s="115"/>
      <c r="E40" s="115"/>
      <c r="F40" s="115"/>
      <c r="G40" s="115"/>
      <c r="H40" s="115"/>
      <c r="I40" s="650">
        <f>Tabla2[[#This Row],[VOLUMEN ENVIADO A RO (m3)]]/Tabla2[[#This Row],[Q DE OPERACIÓN (m3/h)]]</f>
        <v>9.8088536585365862</v>
      </c>
      <c r="J40" s="124">
        <v>402.16300000000001</v>
      </c>
      <c r="K40" s="184">
        <v>41</v>
      </c>
      <c r="L40" s="184">
        <v>0</v>
      </c>
      <c r="M40" s="184">
        <v>0</v>
      </c>
      <c r="N40" s="184">
        <v>0</v>
      </c>
      <c r="O40" s="184">
        <v>0</v>
      </c>
      <c r="P40" s="184">
        <v>0</v>
      </c>
      <c r="Q40" s="124">
        <f t="shared" si="29"/>
        <v>0</v>
      </c>
      <c r="R40" s="124">
        <f t="shared" si="30"/>
        <v>0</v>
      </c>
      <c r="S40" s="124">
        <f t="shared" si="31"/>
        <v>0</v>
      </c>
      <c r="T40" s="124">
        <f t="shared" si="32"/>
        <v>0</v>
      </c>
      <c r="U40" s="124">
        <f t="shared" si="33"/>
        <v>0</v>
      </c>
      <c r="V40" s="124">
        <f t="shared" si="17"/>
        <v>0</v>
      </c>
      <c r="W40" s="124">
        <f t="shared" si="18"/>
        <v>0</v>
      </c>
      <c r="X40" s="124">
        <f t="shared" si="19"/>
        <v>0</v>
      </c>
      <c r="Y40" s="124">
        <f t="shared" si="20"/>
        <v>0</v>
      </c>
      <c r="Z40" s="124">
        <f t="shared" si="21"/>
        <v>0</v>
      </c>
      <c r="AA40" s="651">
        <v>1.18</v>
      </c>
      <c r="AB40" s="651">
        <v>1.28</v>
      </c>
      <c r="AC40" s="651">
        <v>1.2</v>
      </c>
      <c r="AD40" s="651">
        <v>1.53</v>
      </c>
      <c r="AE40" s="651">
        <v>1.2</v>
      </c>
      <c r="AF40" s="124">
        <f t="shared" si="22"/>
        <v>0</v>
      </c>
      <c r="AG40" s="124">
        <f t="shared" si="23"/>
        <v>0</v>
      </c>
      <c r="AH40" s="124">
        <f t="shared" si="24"/>
        <v>0</v>
      </c>
      <c r="AI40" s="124">
        <f t="shared" si="25"/>
        <v>0</v>
      </c>
      <c r="AJ40" s="124">
        <f t="shared" si="26"/>
        <v>0</v>
      </c>
      <c r="AK40" s="652">
        <f t="shared" si="34"/>
        <v>0</v>
      </c>
      <c r="AL40" s="652">
        <f t="shared" si="35"/>
        <v>0</v>
      </c>
      <c r="AM40" s="652">
        <f t="shared" si="36"/>
        <v>0</v>
      </c>
      <c r="AN40" s="652">
        <f t="shared" si="37"/>
        <v>0</v>
      </c>
      <c r="AO40" s="652">
        <f t="shared" si="38"/>
        <v>0</v>
      </c>
      <c r="AP40" s="653">
        <f t="shared" si="45"/>
        <v>1650</v>
      </c>
      <c r="AQ40" s="653">
        <f t="shared" si="45"/>
        <v>19160</v>
      </c>
      <c r="AR40" s="653">
        <f t="shared" si="45"/>
        <v>36239</v>
      </c>
      <c r="AS40" s="653">
        <f t="shared" si="45"/>
        <v>1298</v>
      </c>
      <c r="AT40" s="653">
        <f t="shared" si="45"/>
        <v>4200</v>
      </c>
      <c r="AU40" s="653">
        <f t="shared" si="39"/>
        <v>0</v>
      </c>
      <c r="AV40" s="653">
        <f t="shared" si="40"/>
        <v>0</v>
      </c>
      <c r="AW40" s="653">
        <f t="shared" si="41"/>
        <v>0</v>
      </c>
      <c r="AX40" s="653">
        <f t="shared" si="42"/>
        <v>0</v>
      </c>
      <c r="AY40" s="653">
        <f t="shared" si="43"/>
        <v>42227.115000000005</v>
      </c>
      <c r="AZ40" s="653">
        <f t="shared" si="44"/>
        <v>42227.115000000005</v>
      </c>
      <c r="BA40" s="653">
        <v>1000</v>
      </c>
      <c r="BB40" s="659">
        <f>+Tabla2[[#This Row],[COSTO QUIMICA ]]/Tabla2[[#This Row],[VOLUMEN ENVIADO A RO (m3)]]</f>
        <v>105.00000000000001</v>
      </c>
    </row>
    <row r="41" spans="1:54" ht="14.25" x14ac:dyDescent="0.25">
      <c r="A41" s="640">
        <f>+A40+1</f>
        <v>46126</v>
      </c>
      <c r="B41" s="641">
        <f>DAY(Tabla2[[#This Row],[FECHA]])</f>
        <v>14</v>
      </c>
      <c r="C41" s="642" t="s">
        <v>28</v>
      </c>
      <c r="D41" s="117"/>
      <c r="E41" s="117"/>
      <c r="F41" s="117"/>
      <c r="G41" s="117"/>
      <c r="H41" s="117"/>
      <c r="I41" s="643">
        <f>Tabla2[[#This Row],[VOLUMEN ENVIADO A RO (m3)]]/Tabla2[[#This Row],[Q DE OPERACIÓN (m3/h)]]</f>
        <v>8.3421578947368431</v>
      </c>
      <c r="J41" s="125">
        <v>317.00200000000001</v>
      </c>
      <c r="K41" s="182">
        <v>38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25">
        <f t="shared" si="29"/>
        <v>0</v>
      </c>
      <c r="R41" s="125">
        <f t="shared" si="30"/>
        <v>0</v>
      </c>
      <c r="S41" s="125">
        <f t="shared" si="31"/>
        <v>0</v>
      </c>
      <c r="T41" s="125">
        <f t="shared" si="32"/>
        <v>0</v>
      </c>
      <c r="U41" s="125">
        <f t="shared" si="33"/>
        <v>0</v>
      </c>
      <c r="V41" s="125">
        <f t="shared" si="17"/>
        <v>0</v>
      </c>
      <c r="W41" s="125">
        <f t="shared" si="18"/>
        <v>0</v>
      </c>
      <c r="X41" s="125">
        <f t="shared" si="19"/>
        <v>0</v>
      </c>
      <c r="Y41" s="125">
        <f t="shared" si="20"/>
        <v>0</v>
      </c>
      <c r="Z41" s="125">
        <f t="shared" si="21"/>
        <v>0</v>
      </c>
      <c r="AA41" s="644">
        <v>1.18</v>
      </c>
      <c r="AB41" s="644">
        <v>1.28</v>
      </c>
      <c r="AC41" s="644">
        <v>1.2</v>
      </c>
      <c r="AD41" s="644">
        <v>1.53</v>
      </c>
      <c r="AE41" s="644">
        <v>1.2</v>
      </c>
      <c r="AF41" s="125">
        <f t="shared" si="22"/>
        <v>0</v>
      </c>
      <c r="AG41" s="125">
        <f t="shared" si="23"/>
        <v>0</v>
      </c>
      <c r="AH41" s="125">
        <f t="shared" si="24"/>
        <v>0</v>
      </c>
      <c r="AI41" s="125">
        <f t="shared" si="25"/>
        <v>0</v>
      </c>
      <c r="AJ41" s="125">
        <f t="shared" si="26"/>
        <v>0</v>
      </c>
      <c r="AK41" s="617">
        <f t="shared" si="34"/>
        <v>0</v>
      </c>
      <c r="AL41" s="617">
        <f t="shared" si="35"/>
        <v>0</v>
      </c>
      <c r="AM41" s="617">
        <f t="shared" si="36"/>
        <v>0</v>
      </c>
      <c r="AN41" s="617">
        <f t="shared" si="37"/>
        <v>0</v>
      </c>
      <c r="AO41" s="617">
        <f t="shared" si="38"/>
        <v>0</v>
      </c>
      <c r="AP41" s="645">
        <f t="shared" si="45"/>
        <v>1650</v>
      </c>
      <c r="AQ41" s="645">
        <f t="shared" si="45"/>
        <v>19160</v>
      </c>
      <c r="AR41" s="645">
        <f t="shared" si="45"/>
        <v>36239</v>
      </c>
      <c r="AS41" s="645">
        <f t="shared" si="45"/>
        <v>1298</v>
      </c>
      <c r="AT41" s="645">
        <f t="shared" si="45"/>
        <v>4200</v>
      </c>
      <c r="AU41" s="645">
        <f t="shared" si="39"/>
        <v>0</v>
      </c>
      <c r="AV41" s="645">
        <f t="shared" si="40"/>
        <v>0</v>
      </c>
      <c r="AW41" s="645">
        <f t="shared" si="41"/>
        <v>0</v>
      </c>
      <c r="AX41" s="645">
        <f t="shared" si="42"/>
        <v>0</v>
      </c>
      <c r="AY41" s="645">
        <f t="shared" si="43"/>
        <v>33285.21</v>
      </c>
      <c r="AZ41" s="645">
        <f t="shared" si="44"/>
        <v>33285.21</v>
      </c>
      <c r="BA41" s="645">
        <v>1000</v>
      </c>
      <c r="BB41" s="657">
        <f>+Tabla2[[#This Row],[COSTO QUIMICA ]]/Tabla2[[#This Row],[VOLUMEN ENVIADO A RO (m3)]]</f>
        <v>105</v>
      </c>
    </row>
    <row r="42" spans="1:54" x14ac:dyDescent="0.25">
      <c r="A42" s="646">
        <f>+A41</f>
        <v>46126</v>
      </c>
      <c r="B42" s="610">
        <f>DAY(Tabla2[[#This Row],[FECHA]])</f>
        <v>14</v>
      </c>
      <c r="C42" s="628" t="s">
        <v>29</v>
      </c>
      <c r="D42" s="114"/>
      <c r="E42" s="114"/>
      <c r="F42" s="114"/>
      <c r="G42" s="114"/>
      <c r="H42" s="114"/>
      <c r="I42" s="625">
        <f>Tabla2[[#This Row],[VOLUMEN ENVIADO A RO (m3)]]/Tabla2[[#This Row],[Q DE OPERACIÓN (m3/h)]]</f>
        <v>6.111756097560975</v>
      </c>
      <c r="J42" s="123">
        <v>250.58199999999999</v>
      </c>
      <c r="K42" s="183">
        <v>41</v>
      </c>
      <c r="L42" s="183">
        <v>0</v>
      </c>
      <c r="M42" s="183">
        <v>0</v>
      </c>
      <c r="N42" s="183">
        <v>0</v>
      </c>
      <c r="O42" s="183">
        <v>0</v>
      </c>
      <c r="P42" s="183">
        <v>0</v>
      </c>
      <c r="Q42" s="123">
        <f t="shared" si="29"/>
        <v>0</v>
      </c>
      <c r="R42" s="123">
        <f t="shared" si="30"/>
        <v>0</v>
      </c>
      <c r="S42" s="123">
        <f t="shared" si="31"/>
        <v>0</v>
      </c>
      <c r="T42" s="123">
        <f t="shared" si="32"/>
        <v>0</v>
      </c>
      <c r="U42" s="123">
        <f t="shared" si="33"/>
        <v>0</v>
      </c>
      <c r="V42" s="123">
        <f t="shared" si="17"/>
        <v>0</v>
      </c>
      <c r="W42" s="123">
        <f t="shared" si="18"/>
        <v>0</v>
      </c>
      <c r="X42" s="123">
        <f t="shared" si="19"/>
        <v>0</v>
      </c>
      <c r="Y42" s="123">
        <f t="shared" si="20"/>
        <v>0</v>
      </c>
      <c r="Z42" s="123">
        <f t="shared" si="21"/>
        <v>0</v>
      </c>
      <c r="AA42" s="626">
        <v>1.18</v>
      </c>
      <c r="AB42" s="626">
        <v>1.28</v>
      </c>
      <c r="AC42" s="626">
        <v>1.2</v>
      </c>
      <c r="AD42" s="626">
        <v>1.53</v>
      </c>
      <c r="AE42" s="626">
        <v>1.2</v>
      </c>
      <c r="AF42" s="123">
        <f t="shared" si="22"/>
        <v>0</v>
      </c>
      <c r="AG42" s="123">
        <f t="shared" si="23"/>
        <v>0</v>
      </c>
      <c r="AH42" s="123">
        <f t="shared" si="24"/>
        <v>0</v>
      </c>
      <c r="AI42" s="123">
        <f t="shared" si="25"/>
        <v>0</v>
      </c>
      <c r="AJ42" s="123">
        <f t="shared" si="26"/>
        <v>0</v>
      </c>
      <c r="AK42" s="615">
        <f t="shared" si="34"/>
        <v>0</v>
      </c>
      <c r="AL42" s="615">
        <f t="shared" si="35"/>
        <v>0</v>
      </c>
      <c r="AM42" s="615">
        <f t="shared" si="36"/>
        <v>0</v>
      </c>
      <c r="AN42" s="615">
        <f t="shared" si="37"/>
        <v>0</v>
      </c>
      <c r="AO42" s="615">
        <f t="shared" si="38"/>
        <v>0</v>
      </c>
      <c r="AP42" s="627">
        <f t="shared" si="45"/>
        <v>1650</v>
      </c>
      <c r="AQ42" s="627">
        <f t="shared" si="45"/>
        <v>19160</v>
      </c>
      <c r="AR42" s="627">
        <f t="shared" si="45"/>
        <v>36239</v>
      </c>
      <c r="AS42" s="627">
        <f t="shared" si="45"/>
        <v>1298</v>
      </c>
      <c r="AT42" s="627">
        <f t="shared" si="45"/>
        <v>4200</v>
      </c>
      <c r="AU42" s="627">
        <f t="shared" si="39"/>
        <v>0</v>
      </c>
      <c r="AV42" s="627">
        <f t="shared" si="40"/>
        <v>0</v>
      </c>
      <c r="AW42" s="627">
        <f t="shared" si="41"/>
        <v>0</v>
      </c>
      <c r="AX42" s="627">
        <f t="shared" si="42"/>
        <v>0</v>
      </c>
      <c r="AY42" s="627">
        <f t="shared" si="43"/>
        <v>26311.11</v>
      </c>
      <c r="AZ42" s="627">
        <f t="shared" si="44"/>
        <v>26311.11</v>
      </c>
      <c r="BA42" s="627">
        <v>1000</v>
      </c>
      <c r="BB42" s="658">
        <f>+Tabla2[[#This Row],[COSTO QUIMICA ]]/Tabla2[[#This Row],[VOLUMEN ENVIADO A RO (m3)]]</f>
        <v>105</v>
      </c>
    </row>
    <row r="43" spans="1:54" thickBot="1" x14ac:dyDescent="0.3">
      <c r="A43" s="647">
        <f>+A42</f>
        <v>46126</v>
      </c>
      <c r="B43" s="648">
        <f>DAY(Tabla2[[#This Row],[FECHA]])</f>
        <v>14</v>
      </c>
      <c r="C43" s="649" t="s">
        <v>30</v>
      </c>
      <c r="D43" s="115"/>
      <c r="E43" s="115"/>
      <c r="F43" s="115"/>
      <c r="G43" s="115"/>
      <c r="H43" s="115"/>
      <c r="I43" s="650">
        <f>Tabla2[[#This Row],[VOLUMEN ENVIADO A RO (m3)]]/Tabla2[[#This Row],[Q DE OPERACIÓN (m3/h)]]</f>
        <v>7.6822558139534882</v>
      </c>
      <c r="J43" s="124">
        <v>330.33699999999999</v>
      </c>
      <c r="K43" s="184">
        <v>43</v>
      </c>
      <c r="L43" s="184">
        <v>0</v>
      </c>
      <c r="M43" s="184">
        <v>0</v>
      </c>
      <c r="N43" s="184">
        <v>0</v>
      </c>
      <c r="O43" s="184">
        <v>0</v>
      </c>
      <c r="P43" s="184">
        <v>0</v>
      </c>
      <c r="Q43" s="124">
        <f t="shared" si="29"/>
        <v>0</v>
      </c>
      <c r="R43" s="124">
        <f t="shared" si="30"/>
        <v>0</v>
      </c>
      <c r="S43" s="124">
        <f t="shared" si="31"/>
        <v>0</v>
      </c>
      <c r="T43" s="124">
        <f t="shared" si="32"/>
        <v>0</v>
      </c>
      <c r="U43" s="124">
        <f t="shared" si="33"/>
        <v>0</v>
      </c>
      <c r="V43" s="124">
        <f t="shared" si="17"/>
        <v>0</v>
      </c>
      <c r="W43" s="124">
        <f t="shared" si="18"/>
        <v>0</v>
      </c>
      <c r="X43" s="124">
        <f t="shared" si="19"/>
        <v>0</v>
      </c>
      <c r="Y43" s="124">
        <f t="shared" si="20"/>
        <v>0</v>
      </c>
      <c r="Z43" s="124">
        <f t="shared" si="21"/>
        <v>0</v>
      </c>
      <c r="AA43" s="651">
        <v>1.18</v>
      </c>
      <c r="AB43" s="651">
        <v>1.28</v>
      </c>
      <c r="AC43" s="651">
        <v>1.2</v>
      </c>
      <c r="AD43" s="651">
        <v>1.53</v>
      </c>
      <c r="AE43" s="651">
        <v>1.2</v>
      </c>
      <c r="AF43" s="124">
        <f t="shared" si="22"/>
        <v>0</v>
      </c>
      <c r="AG43" s="124">
        <f t="shared" si="23"/>
        <v>0</v>
      </c>
      <c r="AH43" s="124">
        <f t="shared" si="24"/>
        <v>0</v>
      </c>
      <c r="AI43" s="124">
        <f t="shared" si="25"/>
        <v>0</v>
      </c>
      <c r="AJ43" s="124">
        <f t="shared" si="26"/>
        <v>0</v>
      </c>
      <c r="AK43" s="652">
        <f t="shared" si="34"/>
        <v>0</v>
      </c>
      <c r="AL43" s="652">
        <f t="shared" si="35"/>
        <v>0</v>
      </c>
      <c r="AM43" s="652">
        <f t="shared" si="36"/>
        <v>0</v>
      </c>
      <c r="AN43" s="652">
        <f t="shared" si="37"/>
        <v>0</v>
      </c>
      <c r="AO43" s="652">
        <f t="shared" si="38"/>
        <v>0</v>
      </c>
      <c r="AP43" s="653">
        <f t="shared" si="45"/>
        <v>1650</v>
      </c>
      <c r="AQ43" s="653">
        <f t="shared" si="45"/>
        <v>19160</v>
      </c>
      <c r="AR43" s="653">
        <f t="shared" si="45"/>
        <v>36239</v>
      </c>
      <c r="AS43" s="653">
        <f t="shared" si="45"/>
        <v>1298</v>
      </c>
      <c r="AT43" s="653">
        <f t="shared" si="45"/>
        <v>4200</v>
      </c>
      <c r="AU43" s="653">
        <f t="shared" si="39"/>
        <v>0</v>
      </c>
      <c r="AV43" s="653">
        <f t="shared" si="40"/>
        <v>0</v>
      </c>
      <c r="AW43" s="653">
        <f t="shared" si="41"/>
        <v>0</v>
      </c>
      <c r="AX43" s="653">
        <f t="shared" si="42"/>
        <v>0</v>
      </c>
      <c r="AY43" s="653">
        <f t="shared" si="43"/>
        <v>34685.385000000002</v>
      </c>
      <c r="AZ43" s="653">
        <f t="shared" si="44"/>
        <v>34685.385000000002</v>
      </c>
      <c r="BA43" s="653">
        <v>1000</v>
      </c>
      <c r="BB43" s="659">
        <f>+Tabla2[[#This Row],[COSTO QUIMICA ]]/Tabla2[[#This Row],[VOLUMEN ENVIADO A RO (m3)]]</f>
        <v>105.00000000000001</v>
      </c>
    </row>
    <row r="44" spans="1:54" ht="14.25" x14ac:dyDescent="0.25">
      <c r="A44" s="640">
        <f>+A43+1</f>
        <v>46127</v>
      </c>
      <c r="B44" s="641">
        <f>DAY(Tabla2[[#This Row],[FECHA]])</f>
        <v>15</v>
      </c>
      <c r="C44" s="642" t="s">
        <v>28</v>
      </c>
      <c r="D44" s="117"/>
      <c r="E44" s="117"/>
      <c r="F44" s="117"/>
      <c r="G44" s="117"/>
      <c r="H44" s="117"/>
      <c r="I44" s="643">
        <f>Tabla2[[#This Row],[VOLUMEN ENVIADO A RO (m3)]]/Tabla2[[#This Row],[Q DE OPERACIÓN (m3/h)]]</f>
        <v>7.7647674418604646</v>
      </c>
      <c r="J44" s="125">
        <v>333.88499999999999</v>
      </c>
      <c r="K44" s="182">
        <v>43</v>
      </c>
      <c r="L44" s="182">
        <v>0</v>
      </c>
      <c r="M44" s="182">
        <v>0</v>
      </c>
      <c r="N44" s="182">
        <v>0</v>
      </c>
      <c r="O44" s="182">
        <v>0</v>
      </c>
      <c r="P44" s="182">
        <v>0</v>
      </c>
      <c r="Q44" s="125">
        <f t="shared" si="29"/>
        <v>0</v>
      </c>
      <c r="R44" s="125">
        <f t="shared" si="30"/>
        <v>0</v>
      </c>
      <c r="S44" s="125">
        <f t="shared" si="31"/>
        <v>0</v>
      </c>
      <c r="T44" s="125">
        <f t="shared" si="32"/>
        <v>0</v>
      </c>
      <c r="U44" s="125">
        <f t="shared" si="33"/>
        <v>0</v>
      </c>
      <c r="V44" s="125">
        <f t="shared" si="17"/>
        <v>0</v>
      </c>
      <c r="W44" s="125">
        <f t="shared" si="18"/>
        <v>0</v>
      </c>
      <c r="X44" s="125">
        <f t="shared" si="19"/>
        <v>0</v>
      </c>
      <c r="Y44" s="125">
        <f t="shared" si="20"/>
        <v>0</v>
      </c>
      <c r="Z44" s="125">
        <f t="shared" si="21"/>
        <v>0</v>
      </c>
      <c r="AA44" s="644">
        <v>1.18</v>
      </c>
      <c r="AB44" s="644">
        <v>1.28</v>
      </c>
      <c r="AC44" s="644">
        <v>1.2</v>
      </c>
      <c r="AD44" s="644">
        <v>1.53</v>
      </c>
      <c r="AE44" s="644">
        <v>1.2</v>
      </c>
      <c r="AF44" s="125">
        <f t="shared" si="22"/>
        <v>0</v>
      </c>
      <c r="AG44" s="125">
        <f t="shared" si="23"/>
        <v>0</v>
      </c>
      <c r="AH44" s="125">
        <f t="shared" si="24"/>
        <v>0</v>
      </c>
      <c r="AI44" s="125">
        <f t="shared" si="25"/>
        <v>0</v>
      </c>
      <c r="AJ44" s="125">
        <f t="shared" si="26"/>
        <v>0</v>
      </c>
      <c r="AK44" s="617">
        <f t="shared" si="34"/>
        <v>0</v>
      </c>
      <c r="AL44" s="617">
        <f t="shared" si="35"/>
        <v>0</v>
      </c>
      <c r="AM44" s="617">
        <f t="shared" si="36"/>
        <v>0</v>
      </c>
      <c r="AN44" s="617">
        <f t="shared" si="37"/>
        <v>0</v>
      </c>
      <c r="AO44" s="617">
        <f t="shared" si="38"/>
        <v>0</v>
      </c>
      <c r="AP44" s="645">
        <f t="shared" si="45"/>
        <v>1650</v>
      </c>
      <c r="AQ44" s="645">
        <f t="shared" si="45"/>
        <v>19160</v>
      </c>
      <c r="AR44" s="645">
        <f t="shared" si="45"/>
        <v>36239</v>
      </c>
      <c r="AS44" s="645">
        <f t="shared" si="45"/>
        <v>1298</v>
      </c>
      <c r="AT44" s="645">
        <f t="shared" si="45"/>
        <v>4200</v>
      </c>
      <c r="AU44" s="645">
        <f t="shared" si="39"/>
        <v>0</v>
      </c>
      <c r="AV44" s="645">
        <f t="shared" si="40"/>
        <v>0</v>
      </c>
      <c r="AW44" s="645">
        <f t="shared" si="41"/>
        <v>0</v>
      </c>
      <c r="AX44" s="645">
        <f t="shared" si="42"/>
        <v>0</v>
      </c>
      <c r="AY44" s="645">
        <f t="shared" si="43"/>
        <v>35057.925000000003</v>
      </c>
      <c r="AZ44" s="645">
        <f t="shared" si="44"/>
        <v>35057.925000000003</v>
      </c>
      <c r="BA44" s="645">
        <v>1000</v>
      </c>
      <c r="BB44" s="657">
        <f>+Tabla2[[#This Row],[COSTO QUIMICA ]]/Tabla2[[#This Row],[VOLUMEN ENVIADO A RO (m3)]]</f>
        <v>105.00000000000001</v>
      </c>
    </row>
    <row r="45" spans="1:54" x14ac:dyDescent="0.25">
      <c r="A45" s="646">
        <f>+A44</f>
        <v>46127</v>
      </c>
      <c r="B45" s="610">
        <f>DAY(Tabla2[[#This Row],[FECHA]])</f>
        <v>15</v>
      </c>
      <c r="C45" s="628" t="s">
        <v>29</v>
      </c>
      <c r="D45" s="114"/>
      <c r="E45" s="114"/>
      <c r="F45" s="114"/>
      <c r="G45" s="114"/>
      <c r="H45" s="114"/>
      <c r="I45" s="625">
        <f>Tabla2[[#This Row],[VOLUMEN ENVIADO A RO (m3)]]/Tabla2[[#This Row],[Q DE OPERACIÓN (m3/h)]]</f>
        <v>8.1609999999999996</v>
      </c>
      <c r="J45" s="123">
        <v>359.084</v>
      </c>
      <c r="K45" s="183">
        <v>44</v>
      </c>
      <c r="L45" s="183">
        <v>0</v>
      </c>
      <c r="M45" s="183">
        <v>0</v>
      </c>
      <c r="N45" s="183">
        <v>0</v>
      </c>
      <c r="O45" s="183">
        <v>0</v>
      </c>
      <c r="P45" s="183">
        <v>0</v>
      </c>
      <c r="Q45" s="123">
        <f t="shared" si="29"/>
        <v>0</v>
      </c>
      <c r="R45" s="123">
        <f t="shared" si="30"/>
        <v>0</v>
      </c>
      <c r="S45" s="123">
        <f t="shared" si="31"/>
        <v>0</v>
      </c>
      <c r="T45" s="123">
        <f t="shared" si="32"/>
        <v>0</v>
      </c>
      <c r="U45" s="123">
        <f t="shared" si="33"/>
        <v>0</v>
      </c>
      <c r="V45" s="123">
        <f t="shared" si="17"/>
        <v>0</v>
      </c>
      <c r="W45" s="123">
        <f t="shared" si="18"/>
        <v>0</v>
      </c>
      <c r="X45" s="123">
        <f t="shared" si="19"/>
        <v>0</v>
      </c>
      <c r="Y45" s="123">
        <f t="shared" si="20"/>
        <v>0</v>
      </c>
      <c r="Z45" s="123">
        <f t="shared" si="21"/>
        <v>0</v>
      </c>
      <c r="AA45" s="626">
        <v>1.18</v>
      </c>
      <c r="AB45" s="626">
        <v>1.28</v>
      </c>
      <c r="AC45" s="626">
        <v>1.2</v>
      </c>
      <c r="AD45" s="626">
        <v>1.53</v>
      </c>
      <c r="AE45" s="626">
        <v>1.2</v>
      </c>
      <c r="AF45" s="123">
        <f t="shared" si="22"/>
        <v>0</v>
      </c>
      <c r="AG45" s="123">
        <f t="shared" si="23"/>
        <v>0</v>
      </c>
      <c r="AH45" s="123">
        <f t="shared" si="24"/>
        <v>0</v>
      </c>
      <c r="AI45" s="123">
        <f t="shared" si="25"/>
        <v>0</v>
      </c>
      <c r="AJ45" s="123">
        <f t="shared" si="26"/>
        <v>0</v>
      </c>
      <c r="AK45" s="615">
        <f t="shared" si="34"/>
        <v>0</v>
      </c>
      <c r="AL45" s="615">
        <f t="shared" si="35"/>
        <v>0</v>
      </c>
      <c r="AM45" s="615">
        <f t="shared" si="36"/>
        <v>0</v>
      </c>
      <c r="AN45" s="615">
        <f t="shared" si="37"/>
        <v>0</v>
      </c>
      <c r="AO45" s="615">
        <f t="shared" si="38"/>
        <v>0</v>
      </c>
      <c r="AP45" s="627">
        <f t="shared" si="45"/>
        <v>1650</v>
      </c>
      <c r="AQ45" s="627">
        <f t="shared" si="45"/>
        <v>19160</v>
      </c>
      <c r="AR45" s="627">
        <f t="shared" si="45"/>
        <v>36239</v>
      </c>
      <c r="AS45" s="627">
        <f t="shared" si="45"/>
        <v>1298</v>
      </c>
      <c r="AT45" s="627">
        <f t="shared" si="45"/>
        <v>4200</v>
      </c>
      <c r="AU45" s="627">
        <f t="shared" si="39"/>
        <v>0</v>
      </c>
      <c r="AV45" s="627">
        <f t="shared" si="40"/>
        <v>0</v>
      </c>
      <c r="AW45" s="627">
        <f t="shared" si="41"/>
        <v>0</v>
      </c>
      <c r="AX45" s="627">
        <f t="shared" si="42"/>
        <v>0</v>
      </c>
      <c r="AY45" s="627">
        <f t="shared" si="43"/>
        <v>37703.82</v>
      </c>
      <c r="AZ45" s="627">
        <f t="shared" si="44"/>
        <v>37703.82</v>
      </c>
      <c r="BA45" s="627">
        <v>1000</v>
      </c>
      <c r="BB45" s="658">
        <f>+Tabla2[[#This Row],[COSTO QUIMICA ]]/Tabla2[[#This Row],[VOLUMEN ENVIADO A RO (m3)]]</f>
        <v>105</v>
      </c>
    </row>
    <row r="46" spans="1:54" ht="15.75" thickBot="1" x14ac:dyDescent="0.3">
      <c r="A46" s="647">
        <f>+A45</f>
        <v>46127</v>
      </c>
      <c r="B46" s="648">
        <f>DAY(Tabla2[[#This Row],[FECHA]])</f>
        <v>15</v>
      </c>
      <c r="C46" s="649" t="s">
        <v>30</v>
      </c>
      <c r="D46" s="115"/>
      <c r="E46" s="115"/>
      <c r="F46" s="115"/>
      <c r="G46" s="115"/>
      <c r="H46" s="115"/>
      <c r="I46" s="650">
        <f>Tabla2[[#This Row],[VOLUMEN ENVIADO A RO (m3)]]/Tabla2[[#This Row],[Q DE OPERACIÓN (m3/h)]]</f>
        <v>5.8427441860465112</v>
      </c>
      <c r="J46" s="124">
        <v>251.238</v>
      </c>
      <c r="K46" s="184">
        <v>43</v>
      </c>
      <c r="L46" s="184">
        <v>0</v>
      </c>
      <c r="M46" s="184">
        <v>0</v>
      </c>
      <c r="N46" s="184">
        <v>0</v>
      </c>
      <c r="O46" s="184">
        <v>0</v>
      </c>
      <c r="P46" s="184">
        <v>0</v>
      </c>
      <c r="Q46" s="124">
        <f t="shared" si="29"/>
        <v>0</v>
      </c>
      <c r="R46" s="124">
        <f t="shared" si="30"/>
        <v>0</v>
      </c>
      <c r="S46" s="124">
        <f t="shared" si="31"/>
        <v>0</v>
      </c>
      <c r="T46" s="124">
        <f t="shared" si="32"/>
        <v>0</v>
      </c>
      <c r="U46" s="124">
        <f t="shared" si="33"/>
        <v>0</v>
      </c>
      <c r="V46" s="124">
        <f t="shared" si="17"/>
        <v>0</v>
      </c>
      <c r="W46" s="124">
        <f t="shared" si="18"/>
        <v>0</v>
      </c>
      <c r="X46" s="124">
        <f t="shared" si="19"/>
        <v>0</v>
      </c>
      <c r="Y46" s="124">
        <f t="shared" si="20"/>
        <v>0</v>
      </c>
      <c r="Z46" s="124">
        <f t="shared" si="21"/>
        <v>0</v>
      </c>
      <c r="AA46" s="651">
        <v>1.18</v>
      </c>
      <c r="AB46" s="651">
        <v>1.28</v>
      </c>
      <c r="AC46" s="651">
        <v>1.2</v>
      </c>
      <c r="AD46" s="651">
        <v>1.53</v>
      </c>
      <c r="AE46" s="651">
        <v>1.2</v>
      </c>
      <c r="AF46" s="124">
        <f t="shared" si="22"/>
        <v>0</v>
      </c>
      <c r="AG46" s="124">
        <f t="shared" si="23"/>
        <v>0</v>
      </c>
      <c r="AH46" s="124">
        <f t="shared" si="24"/>
        <v>0</v>
      </c>
      <c r="AI46" s="124">
        <f t="shared" si="25"/>
        <v>0</v>
      </c>
      <c r="AJ46" s="124">
        <f t="shared" si="26"/>
        <v>0</v>
      </c>
      <c r="AK46" s="652">
        <f t="shared" si="34"/>
        <v>0</v>
      </c>
      <c r="AL46" s="652">
        <f t="shared" si="35"/>
        <v>0</v>
      </c>
      <c r="AM46" s="652">
        <f t="shared" si="36"/>
        <v>0</v>
      </c>
      <c r="AN46" s="652">
        <f t="shared" si="37"/>
        <v>0</v>
      </c>
      <c r="AO46" s="652">
        <f t="shared" si="38"/>
        <v>0</v>
      </c>
      <c r="AP46" s="653">
        <f t="shared" si="45"/>
        <v>1650</v>
      </c>
      <c r="AQ46" s="653">
        <f t="shared" si="45"/>
        <v>19160</v>
      </c>
      <c r="AR46" s="653">
        <f t="shared" si="45"/>
        <v>36239</v>
      </c>
      <c r="AS46" s="653">
        <f t="shared" si="45"/>
        <v>1298</v>
      </c>
      <c r="AT46" s="653">
        <f t="shared" si="45"/>
        <v>4200</v>
      </c>
      <c r="AU46" s="653">
        <f t="shared" si="39"/>
        <v>0</v>
      </c>
      <c r="AV46" s="653">
        <f t="shared" si="40"/>
        <v>0</v>
      </c>
      <c r="AW46" s="653">
        <f t="shared" si="41"/>
        <v>0</v>
      </c>
      <c r="AX46" s="653">
        <f t="shared" si="42"/>
        <v>0</v>
      </c>
      <c r="AY46" s="653">
        <f t="shared" si="43"/>
        <v>26379.99</v>
      </c>
      <c r="AZ46" s="653">
        <f t="shared" si="44"/>
        <v>26379.99</v>
      </c>
      <c r="BA46" s="653">
        <v>1000</v>
      </c>
      <c r="BB46" s="659">
        <f>+Tabla2[[#This Row],[COSTO QUIMICA ]]/Tabla2[[#This Row],[VOLUMEN ENVIADO A RO (m3)]]</f>
        <v>105</v>
      </c>
    </row>
    <row r="47" spans="1:54" x14ac:dyDescent="0.25">
      <c r="A47" s="640">
        <f>+A46+1</f>
        <v>46128</v>
      </c>
      <c r="B47" s="641">
        <f>DAY(Tabla2[[#This Row],[FECHA]])</f>
        <v>16</v>
      </c>
      <c r="C47" s="642" t="s">
        <v>28</v>
      </c>
      <c r="D47" s="117"/>
      <c r="E47" s="117"/>
      <c r="F47" s="117"/>
      <c r="G47" s="117"/>
      <c r="H47" s="117"/>
      <c r="I47" s="643">
        <f>Tabla2[[#This Row],[VOLUMEN ENVIADO A RO (m3)]]/Tabla2[[#This Row],[Q DE OPERACIÓN (m3/h)]]</f>
        <v>8.8095238095238102</v>
      </c>
      <c r="J47" s="125">
        <v>370</v>
      </c>
      <c r="K47" s="182">
        <v>42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25">
        <f t="shared" si="29"/>
        <v>0</v>
      </c>
      <c r="R47" s="125">
        <f t="shared" si="30"/>
        <v>0</v>
      </c>
      <c r="S47" s="125">
        <f t="shared" si="31"/>
        <v>0</v>
      </c>
      <c r="T47" s="125">
        <f t="shared" si="32"/>
        <v>0</v>
      </c>
      <c r="U47" s="125">
        <f t="shared" si="33"/>
        <v>0</v>
      </c>
      <c r="V47" s="125">
        <f t="shared" si="17"/>
        <v>0</v>
      </c>
      <c r="W47" s="125">
        <f t="shared" si="18"/>
        <v>0</v>
      </c>
      <c r="X47" s="125">
        <f t="shared" si="19"/>
        <v>0</v>
      </c>
      <c r="Y47" s="125">
        <f t="shared" si="20"/>
        <v>0</v>
      </c>
      <c r="Z47" s="125">
        <f t="shared" si="21"/>
        <v>0</v>
      </c>
      <c r="AA47" s="644">
        <v>1.18</v>
      </c>
      <c r="AB47" s="644">
        <v>1.28</v>
      </c>
      <c r="AC47" s="644">
        <v>1.2</v>
      </c>
      <c r="AD47" s="644">
        <v>1.53</v>
      </c>
      <c r="AE47" s="644">
        <v>1.2</v>
      </c>
      <c r="AF47" s="125">
        <f t="shared" si="22"/>
        <v>0</v>
      </c>
      <c r="AG47" s="125">
        <f t="shared" si="23"/>
        <v>0</v>
      </c>
      <c r="AH47" s="125">
        <f t="shared" si="24"/>
        <v>0</v>
      </c>
      <c r="AI47" s="125">
        <f t="shared" si="25"/>
        <v>0</v>
      </c>
      <c r="AJ47" s="125">
        <f t="shared" si="26"/>
        <v>0</v>
      </c>
      <c r="AK47" s="617">
        <f t="shared" si="34"/>
        <v>0</v>
      </c>
      <c r="AL47" s="617">
        <f t="shared" si="35"/>
        <v>0</v>
      </c>
      <c r="AM47" s="617">
        <f t="shared" si="36"/>
        <v>0</v>
      </c>
      <c r="AN47" s="617">
        <f t="shared" si="37"/>
        <v>0</v>
      </c>
      <c r="AO47" s="617">
        <f t="shared" si="38"/>
        <v>0</v>
      </c>
      <c r="AP47" s="645">
        <f t="shared" si="45"/>
        <v>1650</v>
      </c>
      <c r="AQ47" s="645">
        <f t="shared" si="45"/>
        <v>19160</v>
      </c>
      <c r="AR47" s="645">
        <f t="shared" si="45"/>
        <v>36239</v>
      </c>
      <c r="AS47" s="645">
        <f t="shared" si="45"/>
        <v>1298</v>
      </c>
      <c r="AT47" s="645">
        <f t="shared" si="45"/>
        <v>4200</v>
      </c>
      <c r="AU47" s="645">
        <f t="shared" si="39"/>
        <v>0</v>
      </c>
      <c r="AV47" s="645">
        <f t="shared" si="40"/>
        <v>0</v>
      </c>
      <c r="AW47" s="645">
        <f t="shared" si="41"/>
        <v>0</v>
      </c>
      <c r="AX47" s="645">
        <f t="shared" si="42"/>
        <v>0</v>
      </c>
      <c r="AY47" s="645">
        <f t="shared" si="43"/>
        <v>38850</v>
      </c>
      <c r="AZ47" s="645">
        <f t="shared" si="44"/>
        <v>38850</v>
      </c>
      <c r="BA47" s="645">
        <v>1000</v>
      </c>
      <c r="BB47" s="657">
        <f>+Tabla2[[#This Row],[COSTO QUIMICA ]]/Tabla2[[#This Row],[VOLUMEN ENVIADO A RO (m3)]]</f>
        <v>105</v>
      </c>
    </row>
    <row r="48" spans="1:54" x14ac:dyDescent="0.25">
      <c r="A48" s="646">
        <f>+A47</f>
        <v>46128</v>
      </c>
      <c r="B48" s="610">
        <f>DAY(Tabla2[[#This Row],[FECHA]])</f>
        <v>16</v>
      </c>
      <c r="C48" s="628" t="s">
        <v>29</v>
      </c>
      <c r="D48" s="114"/>
      <c r="E48" s="114"/>
      <c r="F48" s="114"/>
      <c r="G48" s="114"/>
      <c r="H48" s="114"/>
      <c r="I48" s="625">
        <f>Tabla2[[#This Row],[VOLUMEN ENVIADO A RO (m3)]]/Tabla2[[#This Row],[Q DE OPERACIÓN (m3/h)]]</f>
        <v>7.5612750000000002</v>
      </c>
      <c r="J48" s="123">
        <v>302.45100000000002</v>
      </c>
      <c r="K48" s="183">
        <v>40</v>
      </c>
      <c r="L48" s="183">
        <v>0</v>
      </c>
      <c r="M48" s="183">
        <v>0</v>
      </c>
      <c r="N48" s="183">
        <v>0</v>
      </c>
      <c r="O48" s="183">
        <v>0</v>
      </c>
      <c r="P48" s="183">
        <v>0</v>
      </c>
      <c r="Q48" s="123">
        <f t="shared" si="29"/>
        <v>0</v>
      </c>
      <c r="R48" s="123">
        <f t="shared" si="30"/>
        <v>0</v>
      </c>
      <c r="S48" s="123">
        <f t="shared" si="31"/>
        <v>0</v>
      </c>
      <c r="T48" s="123">
        <f t="shared" si="32"/>
        <v>0</v>
      </c>
      <c r="U48" s="123">
        <f t="shared" si="33"/>
        <v>0</v>
      </c>
      <c r="V48" s="123">
        <f t="shared" si="17"/>
        <v>0</v>
      </c>
      <c r="W48" s="123">
        <f t="shared" si="18"/>
        <v>0</v>
      </c>
      <c r="X48" s="123">
        <f t="shared" si="19"/>
        <v>0</v>
      </c>
      <c r="Y48" s="123">
        <f t="shared" si="20"/>
        <v>0</v>
      </c>
      <c r="Z48" s="123">
        <f t="shared" si="21"/>
        <v>0</v>
      </c>
      <c r="AA48" s="626">
        <v>1.18</v>
      </c>
      <c r="AB48" s="626">
        <v>1.28</v>
      </c>
      <c r="AC48" s="626">
        <v>1.2</v>
      </c>
      <c r="AD48" s="626">
        <v>1.53</v>
      </c>
      <c r="AE48" s="626">
        <v>1.2</v>
      </c>
      <c r="AF48" s="123">
        <f t="shared" si="22"/>
        <v>0</v>
      </c>
      <c r="AG48" s="123">
        <f t="shared" si="23"/>
        <v>0</v>
      </c>
      <c r="AH48" s="123">
        <f t="shared" si="24"/>
        <v>0</v>
      </c>
      <c r="AI48" s="123">
        <f t="shared" si="25"/>
        <v>0</v>
      </c>
      <c r="AJ48" s="123">
        <f t="shared" si="26"/>
        <v>0</v>
      </c>
      <c r="AK48" s="615">
        <f t="shared" si="34"/>
        <v>0</v>
      </c>
      <c r="AL48" s="615">
        <f t="shared" si="35"/>
        <v>0</v>
      </c>
      <c r="AM48" s="615">
        <f t="shared" si="36"/>
        <v>0</v>
      </c>
      <c r="AN48" s="615">
        <f t="shared" si="37"/>
        <v>0</v>
      </c>
      <c r="AO48" s="615">
        <f t="shared" si="38"/>
        <v>0</v>
      </c>
      <c r="AP48" s="627">
        <f t="shared" si="45"/>
        <v>1650</v>
      </c>
      <c r="AQ48" s="627">
        <f t="shared" si="45"/>
        <v>19160</v>
      </c>
      <c r="AR48" s="627">
        <f t="shared" si="45"/>
        <v>36239</v>
      </c>
      <c r="AS48" s="627">
        <f t="shared" si="45"/>
        <v>1298</v>
      </c>
      <c r="AT48" s="627">
        <f t="shared" si="45"/>
        <v>4200</v>
      </c>
      <c r="AU48" s="627">
        <f t="shared" si="39"/>
        <v>0</v>
      </c>
      <c r="AV48" s="627">
        <f t="shared" si="40"/>
        <v>0</v>
      </c>
      <c r="AW48" s="627">
        <f t="shared" si="41"/>
        <v>0</v>
      </c>
      <c r="AX48" s="627">
        <f t="shared" si="42"/>
        <v>0</v>
      </c>
      <c r="AY48" s="627">
        <f t="shared" si="43"/>
        <v>31757.355000000003</v>
      </c>
      <c r="AZ48" s="627">
        <f t="shared" si="44"/>
        <v>31757.355000000003</v>
      </c>
      <c r="BA48" s="627">
        <v>1000</v>
      </c>
      <c r="BB48" s="658">
        <f>+Tabla2[[#This Row],[COSTO QUIMICA ]]/Tabla2[[#This Row],[VOLUMEN ENVIADO A RO (m3)]]</f>
        <v>105</v>
      </c>
    </row>
    <row r="49" spans="1:54" ht="15.75" thickBot="1" x14ac:dyDescent="0.3">
      <c r="A49" s="647">
        <f>+A48</f>
        <v>46128</v>
      </c>
      <c r="B49" s="648">
        <f>DAY(Tabla2[[#This Row],[FECHA]])</f>
        <v>16</v>
      </c>
      <c r="C49" s="649" t="s">
        <v>30</v>
      </c>
      <c r="D49" s="115"/>
      <c r="E49" s="115"/>
      <c r="F49" s="115"/>
      <c r="G49" s="115"/>
      <c r="H49" s="115"/>
      <c r="I49" s="650">
        <f>Tabla2[[#This Row],[VOLUMEN ENVIADO A RO (m3)]]/Tabla2[[#This Row],[Q DE OPERACIÓN (m3/h)]]</f>
        <v>7.1619318181818183</v>
      </c>
      <c r="J49" s="124">
        <v>315.125</v>
      </c>
      <c r="K49" s="184">
        <v>44</v>
      </c>
      <c r="L49" s="184">
        <v>0</v>
      </c>
      <c r="M49" s="184">
        <v>0</v>
      </c>
      <c r="N49" s="184">
        <v>0</v>
      </c>
      <c r="O49" s="184">
        <v>0</v>
      </c>
      <c r="P49" s="184">
        <v>0</v>
      </c>
      <c r="Q49" s="124">
        <f t="shared" si="29"/>
        <v>0</v>
      </c>
      <c r="R49" s="124">
        <f t="shared" si="30"/>
        <v>0</v>
      </c>
      <c r="S49" s="124">
        <f t="shared" si="31"/>
        <v>0</v>
      </c>
      <c r="T49" s="124">
        <f t="shared" si="32"/>
        <v>0</v>
      </c>
      <c r="U49" s="124">
        <f t="shared" si="33"/>
        <v>0</v>
      </c>
      <c r="V49" s="124">
        <f t="shared" si="17"/>
        <v>0</v>
      </c>
      <c r="W49" s="124">
        <f t="shared" si="18"/>
        <v>0</v>
      </c>
      <c r="X49" s="124">
        <f t="shared" si="19"/>
        <v>0</v>
      </c>
      <c r="Y49" s="124">
        <f t="shared" si="20"/>
        <v>0</v>
      </c>
      <c r="Z49" s="124">
        <f t="shared" si="21"/>
        <v>0</v>
      </c>
      <c r="AA49" s="651">
        <v>1.18</v>
      </c>
      <c r="AB49" s="651">
        <v>1.28</v>
      </c>
      <c r="AC49" s="651">
        <v>1.2</v>
      </c>
      <c r="AD49" s="651">
        <v>1.53</v>
      </c>
      <c r="AE49" s="651">
        <v>1.2</v>
      </c>
      <c r="AF49" s="124">
        <f t="shared" si="22"/>
        <v>0</v>
      </c>
      <c r="AG49" s="124">
        <f t="shared" si="23"/>
        <v>0</v>
      </c>
      <c r="AH49" s="124">
        <f t="shared" si="24"/>
        <v>0</v>
      </c>
      <c r="AI49" s="124">
        <f t="shared" si="25"/>
        <v>0</v>
      </c>
      <c r="AJ49" s="124">
        <f t="shared" si="26"/>
        <v>0</v>
      </c>
      <c r="AK49" s="652">
        <f t="shared" si="34"/>
        <v>0</v>
      </c>
      <c r="AL49" s="652">
        <f t="shared" si="35"/>
        <v>0</v>
      </c>
      <c r="AM49" s="652">
        <f t="shared" si="36"/>
        <v>0</v>
      </c>
      <c r="AN49" s="652">
        <f t="shared" si="37"/>
        <v>0</v>
      </c>
      <c r="AO49" s="652">
        <f t="shared" si="38"/>
        <v>0</v>
      </c>
      <c r="AP49" s="653">
        <f t="shared" si="45"/>
        <v>1650</v>
      </c>
      <c r="AQ49" s="653">
        <f t="shared" si="45"/>
        <v>19160</v>
      </c>
      <c r="AR49" s="653">
        <f t="shared" si="45"/>
        <v>36239</v>
      </c>
      <c r="AS49" s="653">
        <f t="shared" si="45"/>
        <v>1298</v>
      </c>
      <c r="AT49" s="653">
        <f t="shared" si="45"/>
        <v>4200</v>
      </c>
      <c r="AU49" s="653">
        <f t="shared" si="39"/>
        <v>0</v>
      </c>
      <c r="AV49" s="653">
        <f t="shared" si="40"/>
        <v>0</v>
      </c>
      <c r="AW49" s="653">
        <f t="shared" si="41"/>
        <v>0</v>
      </c>
      <c r="AX49" s="653">
        <f t="shared" si="42"/>
        <v>0</v>
      </c>
      <c r="AY49" s="653">
        <f t="shared" si="43"/>
        <v>33088.125</v>
      </c>
      <c r="AZ49" s="653">
        <f t="shared" si="44"/>
        <v>33088.125</v>
      </c>
      <c r="BA49" s="653">
        <v>1000</v>
      </c>
      <c r="BB49" s="659">
        <f>+Tabla2[[#This Row],[COSTO QUIMICA ]]/Tabla2[[#This Row],[VOLUMEN ENVIADO A RO (m3)]]</f>
        <v>105</v>
      </c>
    </row>
    <row r="50" spans="1:54" x14ac:dyDescent="0.25">
      <c r="A50" s="640">
        <f>+A49+1</f>
        <v>46129</v>
      </c>
      <c r="B50" s="641">
        <f>DAY(Tabla2[[#This Row],[FECHA]])</f>
        <v>17</v>
      </c>
      <c r="C50" s="642" t="s">
        <v>28</v>
      </c>
      <c r="D50" s="117"/>
      <c r="E50" s="117"/>
      <c r="F50" s="117"/>
      <c r="G50" s="117"/>
      <c r="H50" s="117"/>
      <c r="I50" s="643">
        <f>Tabla2[[#This Row],[VOLUMEN ENVIADO A RO (m3)]]/Tabla2[[#This Row],[Q DE OPERACIÓN (m3/h)]]</f>
        <v>7.0373684210526317</v>
      </c>
      <c r="J50" s="125">
        <v>267.42</v>
      </c>
      <c r="K50" s="182">
        <v>38</v>
      </c>
      <c r="L50" s="182">
        <v>0</v>
      </c>
      <c r="M50" s="182">
        <v>0</v>
      </c>
      <c r="N50" s="182">
        <v>0</v>
      </c>
      <c r="O50" s="182">
        <v>0</v>
      </c>
      <c r="P50" s="182">
        <v>0</v>
      </c>
      <c r="Q50" s="125">
        <f t="shared" si="29"/>
        <v>0</v>
      </c>
      <c r="R50" s="125">
        <f t="shared" si="30"/>
        <v>0</v>
      </c>
      <c r="S50" s="125">
        <f t="shared" si="31"/>
        <v>0</v>
      </c>
      <c r="T50" s="125">
        <f t="shared" si="32"/>
        <v>0</v>
      </c>
      <c r="U50" s="125">
        <f t="shared" si="33"/>
        <v>0</v>
      </c>
      <c r="V50" s="125">
        <f t="shared" si="17"/>
        <v>0</v>
      </c>
      <c r="W50" s="125">
        <f t="shared" si="18"/>
        <v>0</v>
      </c>
      <c r="X50" s="125">
        <f t="shared" si="19"/>
        <v>0</v>
      </c>
      <c r="Y50" s="125">
        <f t="shared" si="20"/>
        <v>0</v>
      </c>
      <c r="Z50" s="125">
        <f t="shared" si="21"/>
        <v>0</v>
      </c>
      <c r="AA50" s="644">
        <v>1.18</v>
      </c>
      <c r="AB50" s="644">
        <v>1.28</v>
      </c>
      <c r="AC50" s="644">
        <v>1.2</v>
      </c>
      <c r="AD50" s="644">
        <v>1.53</v>
      </c>
      <c r="AE50" s="644">
        <v>1.2</v>
      </c>
      <c r="AF50" s="125">
        <f t="shared" si="22"/>
        <v>0</v>
      </c>
      <c r="AG50" s="125">
        <f t="shared" si="23"/>
        <v>0</v>
      </c>
      <c r="AH50" s="125">
        <f t="shared" si="24"/>
        <v>0</v>
      </c>
      <c r="AI50" s="125">
        <f t="shared" si="25"/>
        <v>0</v>
      </c>
      <c r="AJ50" s="125">
        <f t="shared" si="26"/>
        <v>0</v>
      </c>
      <c r="AK50" s="617">
        <f t="shared" si="34"/>
        <v>0</v>
      </c>
      <c r="AL50" s="617">
        <f t="shared" si="35"/>
        <v>0</v>
      </c>
      <c r="AM50" s="617">
        <f t="shared" si="36"/>
        <v>0</v>
      </c>
      <c r="AN50" s="617">
        <f t="shared" si="37"/>
        <v>0</v>
      </c>
      <c r="AO50" s="617">
        <f t="shared" si="38"/>
        <v>0</v>
      </c>
      <c r="AP50" s="645">
        <f t="shared" si="45"/>
        <v>1650</v>
      </c>
      <c r="AQ50" s="645">
        <f t="shared" si="45"/>
        <v>19160</v>
      </c>
      <c r="AR50" s="645">
        <f t="shared" si="45"/>
        <v>36239</v>
      </c>
      <c r="AS50" s="645">
        <f t="shared" si="45"/>
        <v>1298</v>
      </c>
      <c r="AT50" s="645">
        <f t="shared" si="45"/>
        <v>4200</v>
      </c>
      <c r="AU50" s="645">
        <f t="shared" si="39"/>
        <v>0</v>
      </c>
      <c r="AV50" s="645">
        <f t="shared" si="40"/>
        <v>0</v>
      </c>
      <c r="AW50" s="645">
        <f t="shared" si="41"/>
        <v>0</v>
      </c>
      <c r="AX50" s="645">
        <f t="shared" si="42"/>
        <v>0</v>
      </c>
      <c r="AY50" s="645">
        <f t="shared" si="43"/>
        <v>28079.100000000006</v>
      </c>
      <c r="AZ50" s="645">
        <f t="shared" si="44"/>
        <v>28079.100000000006</v>
      </c>
      <c r="BA50" s="645">
        <v>1000</v>
      </c>
      <c r="BB50" s="657">
        <f>+Tabla2[[#This Row],[COSTO QUIMICA ]]/Tabla2[[#This Row],[VOLUMEN ENVIADO A RO (m3)]]</f>
        <v>105.00000000000001</v>
      </c>
    </row>
    <row r="51" spans="1:54" x14ac:dyDescent="0.25">
      <c r="A51" s="646">
        <f>+A50</f>
        <v>46129</v>
      </c>
      <c r="B51" s="610">
        <f>DAY(Tabla2[[#This Row],[FECHA]])</f>
        <v>17</v>
      </c>
      <c r="C51" s="628" t="s">
        <v>29</v>
      </c>
      <c r="D51" s="114"/>
      <c r="E51" s="114"/>
      <c r="F51" s="114"/>
      <c r="G51" s="114"/>
      <c r="H51" s="114"/>
      <c r="I51" s="625" t="e">
        <f>Tabla2[[#This Row],[VOLUMEN ENVIADO A RO (m3)]]/Tabla2[[#This Row],[Q DE OPERACIÓN (m3/h)]]</f>
        <v>#DIV/0!</v>
      </c>
      <c r="J51" s="123">
        <v>176.68700000000001</v>
      </c>
      <c r="K51" s="183"/>
      <c r="L51" s="183">
        <v>0</v>
      </c>
      <c r="M51" s="183">
        <v>0</v>
      </c>
      <c r="N51" s="183">
        <v>0</v>
      </c>
      <c r="O51" s="183">
        <v>0</v>
      </c>
      <c r="P51" s="183">
        <v>0</v>
      </c>
      <c r="Q51" s="123">
        <f t="shared" si="29"/>
        <v>0</v>
      </c>
      <c r="R51" s="123">
        <f t="shared" si="30"/>
        <v>0</v>
      </c>
      <c r="S51" s="123">
        <f t="shared" si="31"/>
        <v>0</v>
      </c>
      <c r="T51" s="123">
        <f t="shared" si="32"/>
        <v>0</v>
      </c>
      <c r="U51" s="123">
        <f t="shared" si="33"/>
        <v>0</v>
      </c>
      <c r="V51" s="123">
        <f t="shared" si="17"/>
        <v>0</v>
      </c>
      <c r="W51" s="123">
        <f t="shared" si="18"/>
        <v>0</v>
      </c>
      <c r="X51" s="123">
        <f t="shared" si="19"/>
        <v>0</v>
      </c>
      <c r="Y51" s="123">
        <f t="shared" si="20"/>
        <v>0</v>
      </c>
      <c r="Z51" s="123">
        <f t="shared" si="21"/>
        <v>0</v>
      </c>
      <c r="AA51" s="626">
        <v>1.18</v>
      </c>
      <c r="AB51" s="626">
        <v>1.28</v>
      </c>
      <c r="AC51" s="626">
        <v>1.2</v>
      </c>
      <c r="AD51" s="626">
        <v>1.53</v>
      </c>
      <c r="AE51" s="626">
        <v>1.2</v>
      </c>
      <c r="AF51" s="123">
        <f t="shared" si="22"/>
        <v>0</v>
      </c>
      <c r="AG51" s="123">
        <f t="shared" si="23"/>
        <v>0</v>
      </c>
      <c r="AH51" s="123">
        <f t="shared" si="24"/>
        <v>0</v>
      </c>
      <c r="AI51" s="123">
        <f t="shared" si="25"/>
        <v>0</v>
      </c>
      <c r="AJ51" s="123">
        <f t="shared" si="26"/>
        <v>0</v>
      </c>
      <c r="AK51" s="615">
        <f t="shared" si="34"/>
        <v>0</v>
      </c>
      <c r="AL51" s="615">
        <f t="shared" si="35"/>
        <v>0</v>
      </c>
      <c r="AM51" s="615">
        <f t="shared" si="36"/>
        <v>0</v>
      </c>
      <c r="AN51" s="615">
        <f t="shared" si="37"/>
        <v>0</v>
      </c>
      <c r="AO51" s="615">
        <f t="shared" si="38"/>
        <v>0</v>
      </c>
      <c r="AP51" s="627">
        <f t="shared" ref="AP51:AT66" si="46">AP50</f>
        <v>1650</v>
      </c>
      <c r="AQ51" s="627">
        <f t="shared" si="46"/>
        <v>19160</v>
      </c>
      <c r="AR51" s="627">
        <f t="shared" si="46"/>
        <v>36239</v>
      </c>
      <c r="AS51" s="627">
        <f t="shared" si="46"/>
        <v>1298</v>
      </c>
      <c r="AT51" s="627">
        <f t="shared" si="46"/>
        <v>4200</v>
      </c>
      <c r="AU51" s="627">
        <f t="shared" si="39"/>
        <v>0</v>
      </c>
      <c r="AV51" s="627">
        <f t="shared" si="40"/>
        <v>0</v>
      </c>
      <c r="AW51" s="627">
        <f t="shared" si="41"/>
        <v>0</v>
      </c>
      <c r="AX51" s="627">
        <f t="shared" si="42"/>
        <v>0</v>
      </c>
      <c r="AY51" s="627">
        <f t="shared" si="43"/>
        <v>18552.135000000002</v>
      </c>
      <c r="AZ51" s="627">
        <f t="shared" si="44"/>
        <v>18552.135000000002</v>
      </c>
      <c r="BA51" s="627">
        <v>1000</v>
      </c>
      <c r="BB51" s="658">
        <f>+Tabla2[[#This Row],[COSTO QUIMICA ]]/Tabla2[[#This Row],[VOLUMEN ENVIADO A RO (m3)]]</f>
        <v>105</v>
      </c>
    </row>
    <row r="52" spans="1:54" ht="15.75" thickBot="1" x14ac:dyDescent="0.3">
      <c r="A52" s="647">
        <f>+A51</f>
        <v>46129</v>
      </c>
      <c r="B52" s="648">
        <f>DAY(Tabla2[[#This Row],[FECHA]])</f>
        <v>17</v>
      </c>
      <c r="C52" s="649" t="s">
        <v>30</v>
      </c>
      <c r="D52" s="115"/>
      <c r="E52" s="115"/>
      <c r="F52" s="115"/>
      <c r="G52" s="115"/>
      <c r="H52" s="115"/>
      <c r="I52" s="650" t="e">
        <f>Tabla2[[#This Row],[VOLUMEN ENVIADO A RO (m3)]]/Tabla2[[#This Row],[Q DE OPERACIÓN (m3/h)]]</f>
        <v>#DIV/0!</v>
      </c>
      <c r="J52" s="124">
        <v>311.25799999999998</v>
      </c>
      <c r="K52" s="184"/>
      <c r="L52" s="184">
        <v>0</v>
      </c>
      <c r="M52" s="184">
        <v>0</v>
      </c>
      <c r="N52" s="184">
        <v>0</v>
      </c>
      <c r="O52" s="184">
        <v>0</v>
      </c>
      <c r="P52" s="184">
        <v>0</v>
      </c>
      <c r="Q52" s="124">
        <f t="shared" si="29"/>
        <v>0</v>
      </c>
      <c r="R52" s="124">
        <f t="shared" si="30"/>
        <v>0</v>
      </c>
      <c r="S52" s="124">
        <f t="shared" si="31"/>
        <v>0</v>
      </c>
      <c r="T52" s="124">
        <f t="shared" si="32"/>
        <v>0</v>
      </c>
      <c r="U52" s="124">
        <f t="shared" si="33"/>
        <v>0</v>
      </c>
      <c r="V52" s="124">
        <f t="shared" si="17"/>
        <v>0</v>
      </c>
      <c r="W52" s="124">
        <f t="shared" si="18"/>
        <v>0</v>
      </c>
      <c r="X52" s="124">
        <f t="shared" si="19"/>
        <v>0</v>
      </c>
      <c r="Y52" s="124">
        <f t="shared" si="20"/>
        <v>0</v>
      </c>
      <c r="Z52" s="124">
        <f t="shared" si="21"/>
        <v>0</v>
      </c>
      <c r="AA52" s="651">
        <v>1.18</v>
      </c>
      <c r="AB52" s="651">
        <v>1.28</v>
      </c>
      <c r="AC52" s="651">
        <v>1.2</v>
      </c>
      <c r="AD52" s="651">
        <v>1.53</v>
      </c>
      <c r="AE52" s="651">
        <v>1.2</v>
      </c>
      <c r="AF52" s="124">
        <f t="shared" si="22"/>
        <v>0</v>
      </c>
      <c r="AG52" s="124">
        <f t="shared" si="23"/>
        <v>0</v>
      </c>
      <c r="AH52" s="124">
        <f t="shared" si="24"/>
        <v>0</v>
      </c>
      <c r="AI52" s="124">
        <f t="shared" si="25"/>
        <v>0</v>
      </c>
      <c r="AJ52" s="124">
        <f t="shared" si="26"/>
        <v>0</v>
      </c>
      <c r="AK52" s="652">
        <f t="shared" si="34"/>
        <v>0</v>
      </c>
      <c r="AL52" s="652">
        <f t="shared" si="35"/>
        <v>0</v>
      </c>
      <c r="AM52" s="652">
        <f t="shared" si="36"/>
        <v>0</v>
      </c>
      <c r="AN52" s="652">
        <f t="shared" si="37"/>
        <v>0</v>
      </c>
      <c r="AO52" s="652">
        <f t="shared" si="38"/>
        <v>0</v>
      </c>
      <c r="AP52" s="653">
        <f t="shared" si="46"/>
        <v>1650</v>
      </c>
      <c r="AQ52" s="653">
        <f t="shared" si="46"/>
        <v>19160</v>
      </c>
      <c r="AR52" s="653">
        <f t="shared" si="46"/>
        <v>36239</v>
      </c>
      <c r="AS52" s="653">
        <f t="shared" si="46"/>
        <v>1298</v>
      </c>
      <c r="AT52" s="653">
        <f t="shared" si="46"/>
        <v>4200</v>
      </c>
      <c r="AU52" s="653">
        <f t="shared" si="39"/>
        <v>0</v>
      </c>
      <c r="AV52" s="653">
        <f t="shared" si="40"/>
        <v>0</v>
      </c>
      <c r="AW52" s="653">
        <f t="shared" si="41"/>
        <v>0</v>
      </c>
      <c r="AX52" s="653">
        <f t="shared" si="42"/>
        <v>0</v>
      </c>
      <c r="AY52" s="653">
        <f t="shared" si="43"/>
        <v>32682.089999999997</v>
      </c>
      <c r="AZ52" s="653">
        <f t="shared" si="44"/>
        <v>32682.089999999997</v>
      </c>
      <c r="BA52" s="653">
        <v>1000</v>
      </c>
      <c r="BB52" s="659">
        <f>+Tabla2[[#This Row],[COSTO QUIMICA ]]/Tabla2[[#This Row],[VOLUMEN ENVIADO A RO (m3)]]</f>
        <v>105</v>
      </c>
    </row>
    <row r="53" spans="1:54" x14ac:dyDescent="0.25">
      <c r="A53" s="640">
        <f>+A52+1</f>
        <v>46130</v>
      </c>
      <c r="B53" s="641">
        <f>DAY(Tabla2[[#This Row],[FECHA]])</f>
        <v>18</v>
      </c>
      <c r="C53" s="642" t="s">
        <v>28</v>
      </c>
      <c r="D53" s="117"/>
      <c r="E53" s="117"/>
      <c r="F53" s="117"/>
      <c r="G53" s="117"/>
      <c r="H53" s="117"/>
      <c r="I53" s="643" t="e">
        <f>Tabla2[[#This Row],[VOLUMEN ENVIADO A RO (m3)]]/Tabla2[[#This Row],[Q DE OPERACIÓN (m3/h)]]</f>
        <v>#DIV/0!</v>
      </c>
      <c r="J53" s="125">
        <v>302.95</v>
      </c>
      <c r="K53" s="182"/>
      <c r="L53" s="182">
        <v>0</v>
      </c>
      <c r="M53" s="182">
        <v>0</v>
      </c>
      <c r="N53" s="182">
        <v>0</v>
      </c>
      <c r="O53" s="182">
        <v>0</v>
      </c>
      <c r="P53" s="182">
        <v>0</v>
      </c>
      <c r="Q53" s="125">
        <f t="shared" si="29"/>
        <v>0</v>
      </c>
      <c r="R53" s="125">
        <f t="shared" si="30"/>
        <v>0</v>
      </c>
      <c r="S53" s="125">
        <f t="shared" si="31"/>
        <v>0</v>
      </c>
      <c r="T53" s="125">
        <f t="shared" si="32"/>
        <v>0</v>
      </c>
      <c r="U53" s="125">
        <f t="shared" si="33"/>
        <v>0</v>
      </c>
      <c r="V53" s="125">
        <f t="shared" si="17"/>
        <v>0</v>
      </c>
      <c r="W53" s="125">
        <f t="shared" si="18"/>
        <v>0</v>
      </c>
      <c r="X53" s="125">
        <f t="shared" si="19"/>
        <v>0</v>
      </c>
      <c r="Y53" s="125">
        <f t="shared" si="20"/>
        <v>0</v>
      </c>
      <c r="Z53" s="125">
        <f t="shared" si="21"/>
        <v>0</v>
      </c>
      <c r="AA53" s="644">
        <v>1.18</v>
      </c>
      <c r="AB53" s="644">
        <v>1.28</v>
      </c>
      <c r="AC53" s="644">
        <v>1.2</v>
      </c>
      <c r="AD53" s="644">
        <v>1.53</v>
      </c>
      <c r="AE53" s="644">
        <v>1.2</v>
      </c>
      <c r="AF53" s="125">
        <f t="shared" si="22"/>
        <v>0</v>
      </c>
      <c r="AG53" s="125">
        <f t="shared" si="23"/>
        <v>0</v>
      </c>
      <c r="AH53" s="125">
        <f t="shared" si="24"/>
        <v>0</v>
      </c>
      <c r="AI53" s="125">
        <f t="shared" si="25"/>
        <v>0</v>
      </c>
      <c r="AJ53" s="125">
        <f t="shared" si="26"/>
        <v>0</v>
      </c>
      <c r="AK53" s="617">
        <f t="shared" si="34"/>
        <v>0</v>
      </c>
      <c r="AL53" s="617">
        <f t="shared" si="35"/>
        <v>0</v>
      </c>
      <c r="AM53" s="617">
        <f t="shared" si="36"/>
        <v>0</v>
      </c>
      <c r="AN53" s="617">
        <f t="shared" si="37"/>
        <v>0</v>
      </c>
      <c r="AO53" s="617">
        <f t="shared" si="38"/>
        <v>0</v>
      </c>
      <c r="AP53" s="645">
        <f t="shared" si="46"/>
        <v>1650</v>
      </c>
      <c r="AQ53" s="645">
        <f t="shared" si="46"/>
        <v>19160</v>
      </c>
      <c r="AR53" s="645">
        <f t="shared" si="46"/>
        <v>36239</v>
      </c>
      <c r="AS53" s="645">
        <f t="shared" si="46"/>
        <v>1298</v>
      </c>
      <c r="AT53" s="645">
        <f t="shared" si="46"/>
        <v>4200</v>
      </c>
      <c r="AU53" s="645">
        <f t="shared" si="39"/>
        <v>0</v>
      </c>
      <c r="AV53" s="645">
        <f t="shared" si="40"/>
        <v>0</v>
      </c>
      <c r="AW53" s="645">
        <f t="shared" si="41"/>
        <v>0</v>
      </c>
      <c r="AX53" s="645">
        <f t="shared" si="42"/>
        <v>0</v>
      </c>
      <c r="AY53" s="645">
        <f t="shared" si="43"/>
        <v>31809.75</v>
      </c>
      <c r="AZ53" s="645">
        <f t="shared" si="44"/>
        <v>31809.75</v>
      </c>
      <c r="BA53" s="645">
        <v>1000</v>
      </c>
      <c r="BB53" s="657">
        <f>+Tabla2[[#This Row],[COSTO QUIMICA ]]/Tabla2[[#This Row],[VOLUMEN ENVIADO A RO (m3)]]</f>
        <v>105</v>
      </c>
    </row>
    <row r="54" spans="1:54" x14ac:dyDescent="0.25">
      <c r="A54" s="646">
        <f>+A53</f>
        <v>46130</v>
      </c>
      <c r="B54" s="610">
        <f>DAY(Tabla2[[#This Row],[FECHA]])</f>
        <v>18</v>
      </c>
      <c r="C54" s="628" t="s">
        <v>29</v>
      </c>
      <c r="D54" s="114"/>
      <c r="E54" s="114"/>
      <c r="F54" s="114"/>
      <c r="G54" s="114"/>
      <c r="H54" s="114"/>
      <c r="I54" s="625" t="e">
        <f>Tabla2[[#This Row],[VOLUMEN ENVIADO A RO (m3)]]/Tabla2[[#This Row],[Q DE OPERACIÓN (m3/h)]]</f>
        <v>#DIV/0!</v>
      </c>
      <c r="J54" s="123">
        <v>156.4</v>
      </c>
      <c r="K54" s="183"/>
      <c r="L54" s="183">
        <v>0</v>
      </c>
      <c r="M54" s="183">
        <v>0</v>
      </c>
      <c r="N54" s="183">
        <v>0</v>
      </c>
      <c r="O54" s="183">
        <v>0</v>
      </c>
      <c r="P54" s="183">
        <v>0</v>
      </c>
      <c r="Q54" s="123">
        <f t="shared" si="29"/>
        <v>0</v>
      </c>
      <c r="R54" s="123">
        <f t="shared" si="30"/>
        <v>0</v>
      </c>
      <c r="S54" s="123">
        <f t="shared" si="31"/>
        <v>0</v>
      </c>
      <c r="T54" s="123">
        <f t="shared" si="32"/>
        <v>0</v>
      </c>
      <c r="U54" s="123">
        <f t="shared" si="33"/>
        <v>0</v>
      </c>
      <c r="V54" s="123">
        <f t="shared" si="17"/>
        <v>0</v>
      </c>
      <c r="W54" s="123">
        <f t="shared" si="18"/>
        <v>0</v>
      </c>
      <c r="X54" s="123">
        <f t="shared" si="19"/>
        <v>0</v>
      </c>
      <c r="Y54" s="123">
        <f t="shared" si="20"/>
        <v>0</v>
      </c>
      <c r="Z54" s="123">
        <f t="shared" si="21"/>
        <v>0</v>
      </c>
      <c r="AA54" s="626">
        <v>1.18</v>
      </c>
      <c r="AB54" s="626">
        <v>1.28</v>
      </c>
      <c r="AC54" s="626">
        <v>1.2</v>
      </c>
      <c r="AD54" s="626">
        <v>1.53</v>
      </c>
      <c r="AE54" s="626">
        <v>1.2</v>
      </c>
      <c r="AF54" s="123">
        <f t="shared" si="22"/>
        <v>0</v>
      </c>
      <c r="AG54" s="123">
        <f t="shared" si="23"/>
        <v>0</v>
      </c>
      <c r="AH54" s="123">
        <f t="shared" si="24"/>
        <v>0</v>
      </c>
      <c r="AI54" s="123">
        <f t="shared" si="25"/>
        <v>0</v>
      </c>
      <c r="AJ54" s="123">
        <f t="shared" si="26"/>
        <v>0</v>
      </c>
      <c r="AK54" s="615">
        <f t="shared" si="34"/>
        <v>0</v>
      </c>
      <c r="AL54" s="615">
        <f t="shared" si="35"/>
        <v>0</v>
      </c>
      <c r="AM54" s="615">
        <f t="shared" si="36"/>
        <v>0</v>
      </c>
      <c r="AN54" s="615">
        <f t="shared" si="37"/>
        <v>0</v>
      </c>
      <c r="AO54" s="615">
        <f t="shared" si="38"/>
        <v>0</v>
      </c>
      <c r="AP54" s="627">
        <f t="shared" si="46"/>
        <v>1650</v>
      </c>
      <c r="AQ54" s="627">
        <f t="shared" si="46"/>
        <v>19160</v>
      </c>
      <c r="AR54" s="627">
        <f t="shared" si="46"/>
        <v>36239</v>
      </c>
      <c r="AS54" s="627">
        <f t="shared" si="46"/>
        <v>1298</v>
      </c>
      <c r="AT54" s="627">
        <f t="shared" si="46"/>
        <v>4200</v>
      </c>
      <c r="AU54" s="627">
        <f t="shared" si="39"/>
        <v>0</v>
      </c>
      <c r="AV54" s="627">
        <f t="shared" si="40"/>
        <v>0</v>
      </c>
      <c r="AW54" s="627">
        <f t="shared" si="41"/>
        <v>0</v>
      </c>
      <c r="AX54" s="627">
        <f t="shared" si="42"/>
        <v>0</v>
      </c>
      <c r="AY54" s="627">
        <f t="shared" si="43"/>
        <v>16422</v>
      </c>
      <c r="AZ54" s="627">
        <f t="shared" si="44"/>
        <v>16422</v>
      </c>
      <c r="BA54" s="627">
        <v>1000</v>
      </c>
      <c r="BB54" s="658">
        <f>+Tabla2[[#This Row],[COSTO QUIMICA ]]/Tabla2[[#This Row],[VOLUMEN ENVIADO A RO (m3)]]</f>
        <v>105</v>
      </c>
    </row>
    <row r="55" spans="1:54" ht="15.75" thickBot="1" x14ac:dyDescent="0.3">
      <c r="A55" s="647">
        <f>+A54</f>
        <v>46130</v>
      </c>
      <c r="B55" s="648">
        <f>DAY(Tabla2[[#This Row],[FECHA]])</f>
        <v>18</v>
      </c>
      <c r="C55" s="649" t="s">
        <v>30</v>
      </c>
      <c r="D55" s="115"/>
      <c r="E55" s="115"/>
      <c r="F55" s="115"/>
      <c r="G55" s="115"/>
      <c r="H55" s="115"/>
      <c r="I55" s="650" t="e">
        <f>Tabla2[[#This Row],[VOLUMEN ENVIADO A RO (m3)]]/Tabla2[[#This Row],[Q DE OPERACIÓN (m3/h)]]</f>
        <v>#DIV/0!</v>
      </c>
      <c r="J55" s="124">
        <v>228.85900000000001</v>
      </c>
      <c r="K55" s="184"/>
      <c r="L55" s="184">
        <v>0</v>
      </c>
      <c r="M55" s="184">
        <v>0</v>
      </c>
      <c r="N55" s="184">
        <v>0</v>
      </c>
      <c r="O55" s="184">
        <v>0</v>
      </c>
      <c r="P55" s="184">
        <v>0</v>
      </c>
      <c r="Q55" s="124">
        <f t="shared" si="29"/>
        <v>0</v>
      </c>
      <c r="R55" s="124">
        <f t="shared" si="30"/>
        <v>0</v>
      </c>
      <c r="S55" s="124">
        <f t="shared" si="31"/>
        <v>0</v>
      </c>
      <c r="T55" s="124">
        <f t="shared" si="32"/>
        <v>0</v>
      </c>
      <c r="U55" s="124">
        <f t="shared" si="33"/>
        <v>0</v>
      </c>
      <c r="V55" s="124">
        <f t="shared" si="17"/>
        <v>0</v>
      </c>
      <c r="W55" s="124">
        <f t="shared" si="18"/>
        <v>0</v>
      </c>
      <c r="X55" s="124">
        <f t="shared" si="19"/>
        <v>0</v>
      </c>
      <c r="Y55" s="124">
        <f t="shared" si="20"/>
        <v>0</v>
      </c>
      <c r="Z55" s="124">
        <f t="shared" si="21"/>
        <v>0</v>
      </c>
      <c r="AA55" s="651">
        <v>1.18</v>
      </c>
      <c r="AB55" s="651">
        <v>1.28</v>
      </c>
      <c r="AC55" s="651">
        <v>1.2</v>
      </c>
      <c r="AD55" s="651">
        <v>1.53</v>
      </c>
      <c r="AE55" s="651">
        <v>1.2</v>
      </c>
      <c r="AF55" s="124">
        <f t="shared" si="22"/>
        <v>0</v>
      </c>
      <c r="AG55" s="124">
        <f t="shared" si="23"/>
        <v>0</v>
      </c>
      <c r="AH55" s="124">
        <f t="shared" si="24"/>
        <v>0</v>
      </c>
      <c r="AI55" s="124">
        <f t="shared" si="25"/>
        <v>0</v>
      </c>
      <c r="AJ55" s="124">
        <f t="shared" si="26"/>
        <v>0</v>
      </c>
      <c r="AK55" s="652">
        <f t="shared" si="34"/>
        <v>0</v>
      </c>
      <c r="AL55" s="652">
        <f t="shared" si="35"/>
        <v>0</v>
      </c>
      <c r="AM55" s="652">
        <f t="shared" si="36"/>
        <v>0</v>
      </c>
      <c r="AN55" s="652">
        <f t="shared" si="37"/>
        <v>0</v>
      </c>
      <c r="AO55" s="652">
        <f t="shared" si="38"/>
        <v>0</v>
      </c>
      <c r="AP55" s="653">
        <f t="shared" si="46"/>
        <v>1650</v>
      </c>
      <c r="AQ55" s="653">
        <f t="shared" si="46"/>
        <v>19160</v>
      </c>
      <c r="AR55" s="653">
        <f t="shared" si="46"/>
        <v>36239</v>
      </c>
      <c r="AS55" s="653">
        <f t="shared" si="46"/>
        <v>1298</v>
      </c>
      <c r="AT55" s="653">
        <f t="shared" si="46"/>
        <v>4200</v>
      </c>
      <c r="AU55" s="653">
        <f t="shared" si="39"/>
        <v>0</v>
      </c>
      <c r="AV55" s="653">
        <f t="shared" si="40"/>
        <v>0</v>
      </c>
      <c r="AW55" s="653">
        <f t="shared" si="41"/>
        <v>0</v>
      </c>
      <c r="AX55" s="653">
        <f t="shared" si="42"/>
        <v>0</v>
      </c>
      <c r="AY55" s="653">
        <f t="shared" si="43"/>
        <v>24030.195000000003</v>
      </c>
      <c r="AZ55" s="653">
        <f t="shared" si="44"/>
        <v>24030.195000000003</v>
      </c>
      <c r="BA55" s="653">
        <v>1000</v>
      </c>
      <c r="BB55" s="659">
        <f>+Tabla2[[#This Row],[COSTO QUIMICA ]]/Tabla2[[#This Row],[VOLUMEN ENVIADO A RO (m3)]]</f>
        <v>105.00000000000001</v>
      </c>
    </row>
    <row r="56" spans="1:54" x14ac:dyDescent="0.25">
      <c r="A56" s="640">
        <f>+A55+1</f>
        <v>46131</v>
      </c>
      <c r="B56" s="641">
        <f>DAY(Tabla2[[#This Row],[FECHA]])</f>
        <v>19</v>
      </c>
      <c r="C56" s="642" t="s">
        <v>28</v>
      </c>
      <c r="D56" s="117"/>
      <c r="E56" s="117"/>
      <c r="F56" s="117"/>
      <c r="G56" s="117"/>
      <c r="H56" s="117"/>
      <c r="I56" s="643" t="e">
        <f>Tabla2[[#This Row],[VOLUMEN ENVIADO A RO (m3)]]/Tabla2[[#This Row],[Q DE OPERACIÓN (m3/h)]]</f>
        <v>#DIV/0!</v>
      </c>
      <c r="J56" s="125">
        <v>0</v>
      </c>
      <c r="K56" s="182"/>
      <c r="L56" s="182">
        <v>0</v>
      </c>
      <c r="M56" s="182">
        <v>0</v>
      </c>
      <c r="N56" s="182">
        <v>0</v>
      </c>
      <c r="O56" s="182">
        <v>0</v>
      </c>
      <c r="P56" s="182">
        <v>0</v>
      </c>
      <c r="Q56" s="125">
        <f t="shared" si="29"/>
        <v>0</v>
      </c>
      <c r="R56" s="125">
        <f t="shared" si="30"/>
        <v>0</v>
      </c>
      <c r="S56" s="125">
        <f t="shared" si="31"/>
        <v>0</v>
      </c>
      <c r="T56" s="125">
        <f t="shared" si="32"/>
        <v>0</v>
      </c>
      <c r="U56" s="125">
        <f t="shared" si="33"/>
        <v>0</v>
      </c>
      <c r="V56" s="125">
        <f t="shared" si="17"/>
        <v>0</v>
      </c>
      <c r="W56" s="125">
        <f t="shared" si="18"/>
        <v>0</v>
      </c>
      <c r="X56" s="125">
        <f t="shared" si="19"/>
        <v>0</v>
      </c>
      <c r="Y56" s="125">
        <f t="shared" si="20"/>
        <v>0</v>
      </c>
      <c r="Z56" s="125">
        <f t="shared" si="21"/>
        <v>0</v>
      </c>
      <c r="AA56" s="644">
        <v>1.18</v>
      </c>
      <c r="AB56" s="644">
        <v>1.28</v>
      </c>
      <c r="AC56" s="644">
        <v>1.2</v>
      </c>
      <c r="AD56" s="644">
        <v>1.53</v>
      </c>
      <c r="AE56" s="644">
        <v>1.2</v>
      </c>
      <c r="AF56" s="125">
        <f t="shared" si="22"/>
        <v>0</v>
      </c>
      <c r="AG56" s="125">
        <f t="shared" si="23"/>
        <v>0</v>
      </c>
      <c r="AH56" s="125">
        <f t="shared" si="24"/>
        <v>0</v>
      </c>
      <c r="AI56" s="125">
        <f t="shared" si="25"/>
        <v>0</v>
      </c>
      <c r="AJ56" s="125">
        <f t="shared" si="26"/>
        <v>0</v>
      </c>
      <c r="AK56" s="617" t="e">
        <f t="shared" si="34"/>
        <v>#DIV/0!</v>
      </c>
      <c r="AL56" s="617" t="e">
        <f t="shared" si="35"/>
        <v>#DIV/0!</v>
      </c>
      <c r="AM56" s="617" t="e">
        <f t="shared" si="36"/>
        <v>#DIV/0!</v>
      </c>
      <c r="AN56" s="617" t="e">
        <f t="shared" si="37"/>
        <v>#DIV/0!</v>
      </c>
      <c r="AO56" s="617" t="e">
        <f t="shared" si="38"/>
        <v>#DIV/0!</v>
      </c>
      <c r="AP56" s="645">
        <f t="shared" si="46"/>
        <v>1650</v>
      </c>
      <c r="AQ56" s="645">
        <f t="shared" si="46"/>
        <v>19160</v>
      </c>
      <c r="AR56" s="645">
        <f t="shared" si="46"/>
        <v>36239</v>
      </c>
      <c r="AS56" s="645">
        <f t="shared" si="46"/>
        <v>1298</v>
      </c>
      <c r="AT56" s="645">
        <f t="shared" si="46"/>
        <v>4200</v>
      </c>
      <c r="AU56" s="645">
        <f t="shared" si="39"/>
        <v>0</v>
      </c>
      <c r="AV56" s="645">
        <f t="shared" si="40"/>
        <v>0</v>
      </c>
      <c r="AW56" s="645">
        <f t="shared" si="41"/>
        <v>0</v>
      </c>
      <c r="AX56" s="645">
        <f t="shared" si="42"/>
        <v>0</v>
      </c>
      <c r="AY56" s="645">
        <f t="shared" si="43"/>
        <v>0</v>
      </c>
      <c r="AZ56" s="645">
        <f t="shared" si="44"/>
        <v>0</v>
      </c>
      <c r="BA56" s="645">
        <v>1000</v>
      </c>
      <c r="BB56" s="657" t="e">
        <f>+Tabla2[[#This Row],[COSTO QUIMICA ]]/Tabla2[[#This Row],[VOLUMEN ENVIADO A RO (m3)]]</f>
        <v>#DIV/0!</v>
      </c>
    </row>
    <row r="57" spans="1:54" x14ac:dyDescent="0.25">
      <c r="A57" s="646">
        <f>+A56</f>
        <v>46131</v>
      </c>
      <c r="B57" s="610">
        <f>DAY(Tabla2[[#This Row],[FECHA]])</f>
        <v>19</v>
      </c>
      <c r="C57" s="628" t="s">
        <v>29</v>
      </c>
      <c r="D57" s="114"/>
      <c r="E57" s="114"/>
      <c r="F57" s="114"/>
      <c r="G57" s="114"/>
      <c r="H57" s="114"/>
      <c r="I57" s="625" t="e">
        <f>Tabla2[[#This Row],[VOLUMEN ENVIADO A RO (m3)]]/Tabla2[[#This Row],[Q DE OPERACIÓN (m3/h)]]</f>
        <v>#DIV/0!</v>
      </c>
      <c r="J57" s="123">
        <v>0</v>
      </c>
      <c r="K57" s="183"/>
      <c r="L57" s="183">
        <v>0</v>
      </c>
      <c r="M57" s="183">
        <v>0</v>
      </c>
      <c r="N57" s="183">
        <v>0</v>
      </c>
      <c r="O57" s="183">
        <v>0</v>
      </c>
      <c r="P57" s="183">
        <v>0</v>
      </c>
      <c r="Q57" s="123">
        <f t="shared" si="29"/>
        <v>0</v>
      </c>
      <c r="R57" s="123">
        <f t="shared" si="30"/>
        <v>0</v>
      </c>
      <c r="S57" s="123">
        <f t="shared" si="31"/>
        <v>0</v>
      </c>
      <c r="T57" s="123">
        <f t="shared" si="32"/>
        <v>0</v>
      </c>
      <c r="U57" s="123">
        <f t="shared" si="33"/>
        <v>0</v>
      </c>
      <c r="V57" s="123">
        <f t="shared" si="17"/>
        <v>0</v>
      </c>
      <c r="W57" s="123">
        <f t="shared" si="18"/>
        <v>0</v>
      </c>
      <c r="X57" s="123">
        <f t="shared" si="19"/>
        <v>0</v>
      </c>
      <c r="Y57" s="123">
        <f t="shared" si="20"/>
        <v>0</v>
      </c>
      <c r="Z57" s="123">
        <f t="shared" si="21"/>
        <v>0</v>
      </c>
      <c r="AA57" s="626">
        <v>1.18</v>
      </c>
      <c r="AB57" s="626">
        <v>1.28</v>
      </c>
      <c r="AC57" s="626">
        <v>1.2</v>
      </c>
      <c r="AD57" s="626">
        <v>1.53</v>
      </c>
      <c r="AE57" s="626">
        <v>1.2</v>
      </c>
      <c r="AF57" s="123">
        <f t="shared" si="22"/>
        <v>0</v>
      </c>
      <c r="AG57" s="123">
        <f t="shared" si="23"/>
        <v>0</v>
      </c>
      <c r="AH57" s="123">
        <f t="shared" si="24"/>
        <v>0</v>
      </c>
      <c r="AI57" s="123">
        <f t="shared" si="25"/>
        <v>0</v>
      </c>
      <c r="AJ57" s="123">
        <f t="shared" si="26"/>
        <v>0</v>
      </c>
      <c r="AK57" s="615" t="e">
        <f t="shared" si="34"/>
        <v>#DIV/0!</v>
      </c>
      <c r="AL57" s="615" t="e">
        <f t="shared" si="35"/>
        <v>#DIV/0!</v>
      </c>
      <c r="AM57" s="615" t="e">
        <f t="shared" si="36"/>
        <v>#DIV/0!</v>
      </c>
      <c r="AN57" s="615" t="e">
        <f t="shared" si="37"/>
        <v>#DIV/0!</v>
      </c>
      <c r="AO57" s="615" t="e">
        <f t="shared" si="38"/>
        <v>#DIV/0!</v>
      </c>
      <c r="AP57" s="627">
        <f t="shared" si="46"/>
        <v>1650</v>
      </c>
      <c r="AQ57" s="627">
        <f t="shared" si="46"/>
        <v>19160</v>
      </c>
      <c r="AR57" s="627">
        <f t="shared" si="46"/>
        <v>36239</v>
      </c>
      <c r="AS57" s="627">
        <f t="shared" si="46"/>
        <v>1298</v>
      </c>
      <c r="AT57" s="627">
        <f t="shared" si="46"/>
        <v>4200</v>
      </c>
      <c r="AU57" s="627">
        <f t="shared" si="39"/>
        <v>0</v>
      </c>
      <c r="AV57" s="627">
        <f t="shared" si="40"/>
        <v>0</v>
      </c>
      <c r="AW57" s="627">
        <f t="shared" si="41"/>
        <v>0</v>
      </c>
      <c r="AX57" s="627">
        <f t="shared" si="42"/>
        <v>0</v>
      </c>
      <c r="AY57" s="627">
        <f t="shared" si="43"/>
        <v>0</v>
      </c>
      <c r="AZ57" s="627">
        <f t="shared" si="44"/>
        <v>0</v>
      </c>
      <c r="BA57" s="627">
        <v>1000</v>
      </c>
      <c r="BB57" s="658" t="e">
        <f>+Tabla2[[#This Row],[COSTO QUIMICA ]]/Tabla2[[#This Row],[VOLUMEN ENVIADO A RO (m3)]]</f>
        <v>#DIV/0!</v>
      </c>
    </row>
    <row r="58" spans="1:54" ht="15.75" thickBot="1" x14ac:dyDescent="0.3">
      <c r="A58" s="647">
        <f>+A57</f>
        <v>46131</v>
      </c>
      <c r="B58" s="648">
        <f>DAY(Tabla2[[#This Row],[FECHA]])</f>
        <v>19</v>
      </c>
      <c r="C58" s="649" t="s">
        <v>30</v>
      </c>
      <c r="D58" s="115"/>
      <c r="E58" s="115"/>
      <c r="F58" s="115"/>
      <c r="G58" s="115"/>
      <c r="H58" s="115"/>
      <c r="I58" s="650" t="e">
        <f>Tabla2[[#This Row],[VOLUMEN ENVIADO A RO (m3)]]/Tabla2[[#This Row],[Q DE OPERACIÓN (m3/h)]]</f>
        <v>#DIV/0!</v>
      </c>
      <c r="J58" s="124">
        <v>0</v>
      </c>
      <c r="K58" s="184"/>
      <c r="L58" s="184">
        <v>0</v>
      </c>
      <c r="M58" s="184">
        <v>0</v>
      </c>
      <c r="N58" s="184">
        <v>0</v>
      </c>
      <c r="O58" s="184">
        <v>0</v>
      </c>
      <c r="P58" s="184">
        <v>0</v>
      </c>
      <c r="Q58" s="124">
        <f t="shared" si="29"/>
        <v>0</v>
      </c>
      <c r="R58" s="124">
        <f t="shared" si="30"/>
        <v>0</v>
      </c>
      <c r="S58" s="124">
        <f t="shared" si="31"/>
        <v>0</v>
      </c>
      <c r="T58" s="124">
        <f t="shared" si="32"/>
        <v>0</v>
      </c>
      <c r="U58" s="124">
        <f t="shared" si="33"/>
        <v>0</v>
      </c>
      <c r="V58" s="124">
        <f t="shared" si="17"/>
        <v>0</v>
      </c>
      <c r="W58" s="124">
        <f t="shared" si="18"/>
        <v>0</v>
      </c>
      <c r="X58" s="124">
        <f t="shared" si="19"/>
        <v>0</v>
      </c>
      <c r="Y58" s="124">
        <f t="shared" si="20"/>
        <v>0</v>
      </c>
      <c r="Z58" s="124">
        <f t="shared" si="21"/>
        <v>0</v>
      </c>
      <c r="AA58" s="651">
        <v>1.18</v>
      </c>
      <c r="AB58" s="651">
        <v>1.28</v>
      </c>
      <c r="AC58" s="651">
        <v>1.2</v>
      </c>
      <c r="AD58" s="651">
        <v>1.53</v>
      </c>
      <c r="AE58" s="651">
        <v>1.2</v>
      </c>
      <c r="AF58" s="124">
        <f t="shared" si="22"/>
        <v>0</v>
      </c>
      <c r="AG58" s="124">
        <f t="shared" si="23"/>
        <v>0</v>
      </c>
      <c r="AH58" s="124">
        <f t="shared" si="24"/>
        <v>0</v>
      </c>
      <c r="AI58" s="124">
        <f t="shared" si="25"/>
        <v>0</v>
      </c>
      <c r="AJ58" s="124">
        <f t="shared" si="26"/>
        <v>0</v>
      </c>
      <c r="AK58" s="652" t="e">
        <f t="shared" si="34"/>
        <v>#DIV/0!</v>
      </c>
      <c r="AL58" s="652" t="e">
        <f t="shared" si="35"/>
        <v>#DIV/0!</v>
      </c>
      <c r="AM58" s="652" t="e">
        <f t="shared" si="36"/>
        <v>#DIV/0!</v>
      </c>
      <c r="AN58" s="652" t="e">
        <f t="shared" si="37"/>
        <v>#DIV/0!</v>
      </c>
      <c r="AO58" s="652" t="e">
        <f t="shared" si="38"/>
        <v>#DIV/0!</v>
      </c>
      <c r="AP58" s="653">
        <f t="shared" si="46"/>
        <v>1650</v>
      </c>
      <c r="AQ58" s="653">
        <f t="shared" si="46"/>
        <v>19160</v>
      </c>
      <c r="AR58" s="653">
        <f t="shared" si="46"/>
        <v>36239</v>
      </c>
      <c r="AS58" s="653">
        <f t="shared" si="46"/>
        <v>1298</v>
      </c>
      <c r="AT58" s="653">
        <f t="shared" si="46"/>
        <v>4200</v>
      </c>
      <c r="AU58" s="653">
        <f t="shared" si="39"/>
        <v>0</v>
      </c>
      <c r="AV58" s="653">
        <f t="shared" si="40"/>
        <v>0</v>
      </c>
      <c r="AW58" s="653">
        <f t="shared" si="41"/>
        <v>0</v>
      </c>
      <c r="AX58" s="653">
        <f t="shared" si="42"/>
        <v>0</v>
      </c>
      <c r="AY58" s="653">
        <f t="shared" si="43"/>
        <v>0</v>
      </c>
      <c r="AZ58" s="653">
        <f t="shared" si="44"/>
        <v>0</v>
      </c>
      <c r="BA58" s="653">
        <v>1000</v>
      </c>
      <c r="BB58" s="659" t="e">
        <f>+Tabla2[[#This Row],[COSTO QUIMICA ]]/Tabla2[[#This Row],[VOLUMEN ENVIADO A RO (m3)]]</f>
        <v>#DIV/0!</v>
      </c>
    </row>
    <row r="59" spans="1:54" x14ac:dyDescent="0.25">
      <c r="A59" s="640">
        <f>+A58+1</f>
        <v>46132</v>
      </c>
      <c r="B59" s="641">
        <f>DAY(Tabla2[[#This Row],[FECHA]])</f>
        <v>20</v>
      </c>
      <c r="C59" s="642" t="s">
        <v>28</v>
      </c>
      <c r="D59" s="117"/>
      <c r="E59" s="117"/>
      <c r="F59" s="117"/>
      <c r="G59" s="117"/>
      <c r="H59" s="117"/>
      <c r="I59" s="643" t="e">
        <f>Tabla2[[#This Row],[VOLUMEN ENVIADO A RO (m3)]]/Tabla2[[#This Row],[Q DE OPERACIÓN (m3/h)]]</f>
        <v>#DIV/0!</v>
      </c>
      <c r="J59" s="125">
        <v>212.46299999999999</v>
      </c>
      <c r="K59" s="182"/>
      <c r="L59" s="182">
        <v>0</v>
      </c>
      <c r="M59" s="182">
        <v>0</v>
      </c>
      <c r="N59" s="182">
        <v>0</v>
      </c>
      <c r="O59" s="182">
        <v>0</v>
      </c>
      <c r="P59" s="182">
        <v>0</v>
      </c>
      <c r="Q59" s="125">
        <f t="shared" si="29"/>
        <v>0</v>
      </c>
      <c r="R59" s="125">
        <f t="shared" si="30"/>
        <v>0</v>
      </c>
      <c r="S59" s="125">
        <f t="shared" si="31"/>
        <v>0</v>
      </c>
      <c r="T59" s="125">
        <f t="shared" si="32"/>
        <v>0</v>
      </c>
      <c r="U59" s="125">
        <f t="shared" si="33"/>
        <v>0</v>
      </c>
      <c r="V59" s="125">
        <f t="shared" si="17"/>
        <v>0</v>
      </c>
      <c r="W59" s="125">
        <f t="shared" si="18"/>
        <v>0</v>
      </c>
      <c r="X59" s="125">
        <f t="shared" si="19"/>
        <v>0</v>
      </c>
      <c r="Y59" s="125">
        <f t="shared" si="20"/>
        <v>0</v>
      </c>
      <c r="Z59" s="125">
        <f t="shared" si="21"/>
        <v>0</v>
      </c>
      <c r="AA59" s="644">
        <v>1.18</v>
      </c>
      <c r="AB59" s="644">
        <v>1.28</v>
      </c>
      <c r="AC59" s="644">
        <v>1.2</v>
      </c>
      <c r="AD59" s="644">
        <v>1.53</v>
      </c>
      <c r="AE59" s="644">
        <v>1.2</v>
      </c>
      <c r="AF59" s="125">
        <f t="shared" si="22"/>
        <v>0</v>
      </c>
      <c r="AG59" s="125">
        <f t="shared" si="23"/>
        <v>0</v>
      </c>
      <c r="AH59" s="125">
        <f t="shared" si="24"/>
        <v>0</v>
      </c>
      <c r="AI59" s="125">
        <f t="shared" si="25"/>
        <v>0</v>
      </c>
      <c r="AJ59" s="125">
        <f t="shared" si="26"/>
        <v>0</v>
      </c>
      <c r="AK59" s="617">
        <f t="shared" si="34"/>
        <v>0</v>
      </c>
      <c r="AL59" s="617">
        <f t="shared" si="35"/>
        <v>0</v>
      </c>
      <c r="AM59" s="617">
        <f t="shared" si="36"/>
        <v>0</v>
      </c>
      <c r="AN59" s="617">
        <f t="shared" si="37"/>
        <v>0</v>
      </c>
      <c r="AO59" s="617">
        <f t="shared" si="38"/>
        <v>0</v>
      </c>
      <c r="AP59" s="645">
        <f t="shared" si="46"/>
        <v>1650</v>
      </c>
      <c r="AQ59" s="645">
        <f t="shared" si="46"/>
        <v>19160</v>
      </c>
      <c r="AR59" s="645">
        <f t="shared" si="46"/>
        <v>36239</v>
      </c>
      <c r="AS59" s="645">
        <f t="shared" si="46"/>
        <v>1298</v>
      </c>
      <c r="AT59" s="645">
        <f t="shared" si="46"/>
        <v>4200</v>
      </c>
      <c r="AU59" s="645">
        <f t="shared" si="39"/>
        <v>0</v>
      </c>
      <c r="AV59" s="645">
        <f t="shared" si="40"/>
        <v>0</v>
      </c>
      <c r="AW59" s="645">
        <f t="shared" si="41"/>
        <v>0</v>
      </c>
      <c r="AX59" s="645">
        <f t="shared" si="42"/>
        <v>0</v>
      </c>
      <c r="AY59" s="645">
        <f t="shared" si="43"/>
        <v>22308.615000000002</v>
      </c>
      <c r="AZ59" s="645">
        <f t="shared" si="44"/>
        <v>22308.615000000002</v>
      </c>
      <c r="BA59" s="645">
        <v>1000</v>
      </c>
      <c r="BB59" s="657">
        <f>+Tabla2[[#This Row],[COSTO QUIMICA ]]/Tabla2[[#This Row],[VOLUMEN ENVIADO A RO (m3)]]</f>
        <v>105.00000000000001</v>
      </c>
    </row>
    <row r="60" spans="1:54" x14ac:dyDescent="0.25">
      <c r="A60" s="646">
        <f>+A59</f>
        <v>46132</v>
      </c>
      <c r="B60" s="610">
        <f>DAY(Tabla2[[#This Row],[FECHA]])</f>
        <v>20</v>
      </c>
      <c r="C60" s="628" t="s">
        <v>29</v>
      </c>
      <c r="D60" s="114"/>
      <c r="E60" s="114"/>
      <c r="F60" s="114"/>
      <c r="G60" s="114"/>
      <c r="H60" s="114"/>
      <c r="I60" s="625" t="e">
        <f>Tabla2[[#This Row],[VOLUMEN ENVIADO A RO (m3)]]/Tabla2[[#This Row],[Q DE OPERACIÓN (m3/h)]]</f>
        <v>#DIV/0!</v>
      </c>
      <c r="J60" s="123">
        <v>321.68200000000002</v>
      </c>
      <c r="K60" s="183"/>
      <c r="L60" s="183">
        <v>0</v>
      </c>
      <c r="M60" s="183">
        <v>0</v>
      </c>
      <c r="N60" s="183">
        <v>0</v>
      </c>
      <c r="O60" s="183">
        <v>0</v>
      </c>
      <c r="P60" s="183">
        <v>0</v>
      </c>
      <c r="Q60" s="123">
        <f t="shared" si="29"/>
        <v>0</v>
      </c>
      <c r="R60" s="123">
        <f t="shared" si="30"/>
        <v>0</v>
      </c>
      <c r="S60" s="123">
        <f t="shared" si="31"/>
        <v>0</v>
      </c>
      <c r="T60" s="123">
        <f t="shared" si="32"/>
        <v>0</v>
      </c>
      <c r="U60" s="123">
        <f t="shared" si="33"/>
        <v>0</v>
      </c>
      <c r="V60" s="123">
        <f t="shared" si="17"/>
        <v>0</v>
      </c>
      <c r="W60" s="123">
        <f t="shared" si="18"/>
        <v>0</v>
      </c>
      <c r="X60" s="123">
        <f t="shared" si="19"/>
        <v>0</v>
      </c>
      <c r="Y60" s="123">
        <f t="shared" si="20"/>
        <v>0</v>
      </c>
      <c r="Z60" s="123">
        <f t="shared" si="21"/>
        <v>0</v>
      </c>
      <c r="AA60" s="626">
        <v>1.18</v>
      </c>
      <c r="AB60" s="626">
        <v>1.28</v>
      </c>
      <c r="AC60" s="626">
        <v>1.2</v>
      </c>
      <c r="AD60" s="626">
        <v>1.53</v>
      </c>
      <c r="AE60" s="626">
        <v>1.2</v>
      </c>
      <c r="AF60" s="123">
        <f t="shared" si="22"/>
        <v>0</v>
      </c>
      <c r="AG60" s="123">
        <f t="shared" si="23"/>
        <v>0</v>
      </c>
      <c r="AH60" s="123">
        <f t="shared" si="24"/>
        <v>0</v>
      </c>
      <c r="AI60" s="123">
        <f t="shared" si="25"/>
        <v>0</v>
      </c>
      <c r="AJ60" s="123">
        <f t="shared" si="26"/>
        <v>0</v>
      </c>
      <c r="AK60" s="615">
        <f t="shared" si="34"/>
        <v>0</v>
      </c>
      <c r="AL60" s="615">
        <f t="shared" si="35"/>
        <v>0</v>
      </c>
      <c r="AM60" s="615">
        <f t="shared" si="36"/>
        <v>0</v>
      </c>
      <c r="AN60" s="615">
        <f t="shared" si="37"/>
        <v>0</v>
      </c>
      <c r="AO60" s="615">
        <f t="shared" si="38"/>
        <v>0</v>
      </c>
      <c r="AP60" s="627">
        <f t="shared" si="46"/>
        <v>1650</v>
      </c>
      <c r="AQ60" s="627">
        <f t="shared" si="46"/>
        <v>19160</v>
      </c>
      <c r="AR60" s="627">
        <f t="shared" si="46"/>
        <v>36239</v>
      </c>
      <c r="AS60" s="627">
        <f t="shared" si="46"/>
        <v>1298</v>
      </c>
      <c r="AT60" s="627">
        <f t="shared" si="46"/>
        <v>4200</v>
      </c>
      <c r="AU60" s="627">
        <f t="shared" si="39"/>
        <v>0</v>
      </c>
      <c r="AV60" s="627">
        <f t="shared" si="40"/>
        <v>0</v>
      </c>
      <c r="AW60" s="627">
        <f t="shared" si="41"/>
        <v>0</v>
      </c>
      <c r="AX60" s="627">
        <f t="shared" si="42"/>
        <v>0</v>
      </c>
      <c r="AY60" s="627">
        <f t="shared" si="43"/>
        <v>33776.610000000008</v>
      </c>
      <c r="AZ60" s="627">
        <f t="shared" si="44"/>
        <v>33776.610000000008</v>
      </c>
      <c r="BA60" s="627">
        <v>1000</v>
      </c>
      <c r="BB60" s="658">
        <f>+Tabla2[[#This Row],[COSTO QUIMICA ]]/Tabla2[[#This Row],[VOLUMEN ENVIADO A RO (m3)]]</f>
        <v>105.00000000000001</v>
      </c>
    </row>
    <row r="61" spans="1:54" ht="15.75" thickBot="1" x14ac:dyDescent="0.3">
      <c r="A61" s="647">
        <f>+A60</f>
        <v>46132</v>
      </c>
      <c r="B61" s="648">
        <f>DAY(Tabla2[[#This Row],[FECHA]])</f>
        <v>20</v>
      </c>
      <c r="C61" s="649" t="s">
        <v>30</v>
      </c>
      <c r="D61" s="115"/>
      <c r="E61" s="115"/>
      <c r="F61" s="115"/>
      <c r="G61" s="115"/>
      <c r="H61" s="115"/>
      <c r="I61" s="650" t="e">
        <f>Tabla2[[#This Row],[VOLUMEN ENVIADO A RO (m3)]]/Tabla2[[#This Row],[Q DE OPERACIÓN (m3/h)]]</f>
        <v>#DIV/0!</v>
      </c>
      <c r="J61" s="124">
        <v>295.202</v>
      </c>
      <c r="K61" s="184"/>
      <c r="L61" s="184">
        <v>0</v>
      </c>
      <c r="M61" s="184">
        <v>0</v>
      </c>
      <c r="N61" s="184">
        <v>0</v>
      </c>
      <c r="O61" s="184">
        <v>0</v>
      </c>
      <c r="P61" s="184">
        <v>0</v>
      </c>
      <c r="Q61" s="124">
        <f t="shared" si="29"/>
        <v>0</v>
      </c>
      <c r="R61" s="124">
        <f t="shared" si="30"/>
        <v>0</v>
      </c>
      <c r="S61" s="124">
        <f t="shared" si="31"/>
        <v>0</v>
      </c>
      <c r="T61" s="124">
        <f t="shared" si="32"/>
        <v>0</v>
      </c>
      <c r="U61" s="124">
        <f t="shared" si="33"/>
        <v>0</v>
      </c>
      <c r="V61" s="124">
        <f t="shared" si="17"/>
        <v>0</v>
      </c>
      <c r="W61" s="124">
        <f t="shared" si="18"/>
        <v>0</v>
      </c>
      <c r="X61" s="124">
        <f t="shared" si="19"/>
        <v>0</v>
      </c>
      <c r="Y61" s="124">
        <f t="shared" si="20"/>
        <v>0</v>
      </c>
      <c r="Z61" s="124">
        <f t="shared" si="21"/>
        <v>0</v>
      </c>
      <c r="AA61" s="651">
        <v>1.18</v>
      </c>
      <c r="AB61" s="651">
        <v>1.28</v>
      </c>
      <c r="AC61" s="651">
        <v>1.2</v>
      </c>
      <c r="AD61" s="651">
        <v>1.53</v>
      </c>
      <c r="AE61" s="651">
        <v>1.2</v>
      </c>
      <c r="AF61" s="124">
        <f t="shared" si="22"/>
        <v>0</v>
      </c>
      <c r="AG61" s="124">
        <f t="shared" si="23"/>
        <v>0</v>
      </c>
      <c r="AH61" s="124">
        <f t="shared" si="24"/>
        <v>0</v>
      </c>
      <c r="AI61" s="124">
        <f t="shared" si="25"/>
        <v>0</v>
      </c>
      <c r="AJ61" s="124">
        <f t="shared" si="26"/>
        <v>0</v>
      </c>
      <c r="AK61" s="652">
        <f t="shared" si="34"/>
        <v>0</v>
      </c>
      <c r="AL61" s="652">
        <f t="shared" si="35"/>
        <v>0</v>
      </c>
      <c r="AM61" s="652">
        <f t="shared" si="36"/>
        <v>0</v>
      </c>
      <c r="AN61" s="652">
        <f t="shared" si="37"/>
        <v>0</v>
      </c>
      <c r="AO61" s="652">
        <f t="shared" si="38"/>
        <v>0</v>
      </c>
      <c r="AP61" s="653">
        <f t="shared" si="46"/>
        <v>1650</v>
      </c>
      <c r="AQ61" s="653">
        <f t="shared" si="46"/>
        <v>19160</v>
      </c>
      <c r="AR61" s="653">
        <f t="shared" si="46"/>
        <v>36239</v>
      </c>
      <c r="AS61" s="653">
        <f t="shared" si="46"/>
        <v>1298</v>
      </c>
      <c r="AT61" s="653">
        <f t="shared" si="46"/>
        <v>4200</v>
      </c>
      <c r="AU61" s="653">
        <f t="shared" si="39"/>
        <v>0</v>
      </c>
      <c r="AV61" s="653">
        <f t="shared" si="40"/>
        <v>0</v>
      </c>
      <c r="AW61" s="653">
        <f t="shared" si="41"/>
        <v>0</v>
      </c>
      <c r="AX61" s="653">
        <f t="shared" si="42"/>
        <v>0</v>
      </c>
      <c r="AY61" s="653">
        <f t="shared" si="43"/>
        <v>30996.210000000003</v>
      </c>
      <c r="AZ61" s="653">
        <f t="shared" si="44"/>
        <v>30996.210000000003</v>
      </c>
      <c r="BA61" s="653">
        <v>1000</v>
      </c>
      <c r="BB61" s="659">
        <f>+Tabla2[[#This Row],[COSTO QUIMICA ]]/Tabla2[[#This Row],[VOLUMEN ENVIADO A RO (m3)]]</f>
        <v>105.00000000000001</v>
      </c>
    </row>
    <row r="62" spans="1:54" x14ac:dyDescent="0.25">
      <c r="A62" s="640">
        <f>+A61+1</f>
        <v>46133</v>
      </c>
      <c r="B62" s="641">
        <f>DAY(Tabla2[[#This Row],[FECHA]])</f>
        <v>21</v>
      </c>
      <c r="C62" s="642" t="s">
        <v>28</v>
      </c>
      <c r="D62" s="117"/>
      <c r="E62" s="117"/>
      <c r="F62" s="117"/>
      <c r="G62" s="117"/>
      <c r="H62" s="117"/>
      <c r="I62" s="643" t="e">
        <f>Tabla2[[#This Row],[VOLUMEN ENVIADO A RO (m3)]]/Tabla2[[#This Row],[Q DE OPERACIÓN (m3/h)]]</f>
        <v>#DIV/0!</v>
      </c>
      <c r="J62" s="125">
        <v>295.14400000000001</v>
      </c>
      <c r="K62" s="182"/>
      <c r="L62" s="182">
        <v>0</v>
      </c>
      <c r="M62" s="182">
        <v>0</v>
      </c>
      <c r="N62" s="182">
        <v>0</v>
      </c>
      <c r="O62" s="182">
        <v>0</v>
      </c>
      <c r="P62" s="182">
        <v>0</v>
      </c>
      <c r="Q62" s="125">
        <f t="shared" si="29"/>
        <v>0</v>
      </c>
      <c r="R62" s="125">
        <f t="shared" si="30"/>
        <v>0</v>
      </c>
      <c r="S62" s="125">
        <f t="shared" si="31"/>
        <v>0</v>
      </c>
      <c r="T62" s="125">
        <f t="shared" si="32"/>
        <v>0</v>
      </c>
      <c r="U62" s="125">
        <f t="shared" si="33"/>
        <v>0</v>
      </c>
      <c r="V62" s="125">
        <f t="shared" si="17"/>
        <v>0</v>
      </c>
      <c r="W62" s="125">
        <f t="shared" si="18"/>
        <v>0</v>
      </c>
      <c r="X62" s="125">
        <f t="shared" si="19"/>
        <v>0</v>
      </c>
      <c r="Y62" s="125">
        <f t="shared" si="20"/>
        <v>0</v>
      </c>
      <c r="Z62" s="125">
        <f t="shared" si="21"/>
        <v>0</v>
      </c>
      <c r="AA62" s="644">
        <v>1.18</v>
      </c>
      <c r="AB62" s="644">
        <v>1.28</v>
      </c>
      <c r="AC62" s="644">
        <v>1.2</v>
      </c>
      <c r="AD62" s="644">
        <v>1.53</v>
      </c>
      <c r="AE62" s="644">
        <v>1.2</v>
      </c>
      <c r="AF62" s="125">
        <f t="shared" si="22"/>
        <v>0</v>
      </c>
      <c r="AG62" s="125">
        <f t="shared" si="23"/>
        <v>0</v>
      </c>
      <c r="AH62" s="125">
        <f t="shared" si="24"/>
        <v>0</v>
      </c>
      <c r="AI62" s="125">
        <f t="shared" si="25"/>
        <v>0</v>
      </c>
      <c r="AJ62" s="125">
        <f t="shared" si="26"/>
        <v>0</v>
      </c>
      <c r="AK62" s="617">
        <f t="shared" si="34"/>
        <v>0</v>
      </c>
      <c r="AL62" s="617">
        <f t="shared" si="35"/>
        <v>0</v>
      </c>
      <c r="AM62" s="617">
        <f t="shared" si="36"/>
        <v>0</v>
      </c>
      <c r="AN62" s="617">
        <f t="shared" si="37"/>
        <v>0</v>
      </c>
      <c r="AO62" s="617">
        <f t="shared" si="38"/>
        <v>0</v>
      </c>
      <c r="AP62" s="645">
        <f t="shared" si="46"/>
        <v>1650</v>
      </c>
      <c r="AQ62" s="645">
        <f t="shared" si="46"/>
        <v>19160</v>
      </c>
      <c r="AR62" s="645">
        <f t="shared" si="46"/>
        <v>36239</v>
      </c>
      <c r="AS62" s="645">
        <f t="shared" si="46"/>
        <v>1298</v>
      </c>
      <c r="AT62" s="645">
        <f t="shared" si="46"/>
        <v>4200</v>
      </c>
      <c r="AU62" s="645">
        <f t="shared" si="39"/>
        <v>0</v>
      </c>
      <c r="AV62" s="645">
        <f t="shared" si="40"/>
        <v>0</v>
      </c>
      <c r="AW62" s="645">
        <f t="shared" si="41"/>
        <v>0</v>
      </c>
      <c r="AX62" s="645">
        <f t="shared" si="42"/>
        <v>0</v>
      </c>
      <c r="AY62" s="645">
        <f t="shared" si="43"/>
        <v>30990.120000000003</v>
      </c>
      <c r="AZ62" s="645">
        <f t="shared" si="44"/>
        <v>30990.120000000003</v>
      </c>
      <c r="BA62" s="645">
        <v>1000</v>
      </c>
      <c r="BB62" s="657">
        <f>+Tabla2[[#This Row],[COSTO QUIMICA ]]/Tabla2[[#This Row],[VOLUMEN ENVIADO A RO (m3)]]</f>
        <v>105</v>
      </c>
    </row>
    <row r="63" spans="1:54" x14ac:dyDescent="0.25">
      <c r="A63" s="646">
        <f>+A62</f>
        <v>46133</v>
      </c>
      <c r="B63" s="610">
        <f>DAY(Tabla2[[#This Row],[FECHA]])</f>
        <v>21</v>
      </c>
      <c r="C63" s="628" t="s">
        <v>29</v>
      </c>
      <c r="D63" s="114"/>
      <c r="E63" s="114"/>
      <c r="F63" s="114"/>
      <c r="G63" s="114"/>
      <c r="H63" s="114"/>
      <c r="I63" s="625" t="e">
        <f>Tabla2[[#This Row],[VOLUMEN ENVIADO A RO (m3)]]/Tabla2[[#This Row],[Q DE OPERACIÓN (m3/h)]]</f>
        <v>#DIV/0!</v>
      </c>
      <c r="J63" s="123">
        <v>313.81799999999998</v>
      </c>
      <c r="K63" s="183"/>
      <c r="L63" s="183">
        <v>0</v>
      </c>
      <c r="M63" s="183">
        <v>0</v>
      </c>
      <c r="N63" s="183">
        <v>0</v>
      </c>
      <c r="O63" s="183">
        <v>0</v>
      </c>
      <c r="P63" s="183">
        <v>0</v>
      </c>
      <c r="Q63" s="123">
        <f t="shared" si="29"/>
        <v>0</v>
      </c>
      <c r="R63" s="123">
        <f t="shared" si="30"/>
        <v>0</v>
      </c>
      <c r="S63" s="123">
        <f t="shared" si="31"/>
        <v>0</v>
      </c>
      <c r="T63" s="123">
        <f t="shared" si="32"/>
        <v>0</v>
      </c>
      <c r="U63" s="123">
        <f t="shared" si="33"/>
        <v>0</v>
      </c>
      <c r="V63" s="123">
        <f t="shared" si="17"/>
        <v>0</v>
      </c>
      <c r="W63" s="123">
        <f t="shared" si="18"/>
        <v>0</v>
      </c>
      <c r="X63" s="123">
        <f t="shared" si="19"/>
        <v>0</v>
      </c>
      <c r="Y63" s="123">
        <f t="shared" si="20"/>
        <v>0</v>
      </c>
      <c r="Z63" s="123">
        <f t="shared" si="21"/>
        <v>0</v>
      </c>
      <c r="AA63" s="626">
        <v>1.18</v>
      </c>
      <c r="AB63" s="626">
        <v>1.28</v>
      </c>
      <c r="AC63" s="626">
        <v>1.2</v>
      </c>
      <c r="AD63" s="626">
        <v>1.53</v>
      </c>
      <c r="AE63" s="626">
        <v>1.2</v>
      </c>
      <c r="AF63" s="123">
        <f t="shared" si="22"/>
        <v>0</v>
      </c>
      <c r="AG63" s="123">
        <f t="shared" si="23"/>
        <v>0</v>
      </c>
      <c r="AH63" s="123">
        <f t="shared" si="24"/>
        <v>0</v>
      </c>
      <c r="AI63" s="123">
        <f t="shared" si="25"/>
        <v>0</v>
      </c>
      <c r="AJ63" s="123">
        <f t="shared" si="26"/>
        <v>0</v>
      </c>
      <c r="AK63" s="615">
        <f t="shared" si="34"/>
        <v>0</v>
      </c>
      <c r="AL63" s="615">
        <f t="shared" si="35"/>
        <v>0</v>
      </c>
      <c r="AM63" s="615">
        <f t="shared" si="36"/>
        <v>0</v>
      </c>
      <c r="AN63" s="615">
        <f t="shared" si="37"/>
        <v>0</v>
      </c>
      <c r="AO63" s="615">
        <f t="shared" si="38"/>
        <v>0</v>
      </c>
      <c r="AP63" s="627">
        <f t="shared" si="46"/>
        <v>1650</v>
      </c>
      <c r="AQ63" s="627">
        <f t="shared" si="46"/>
        <v>19160</v>
      </c>
      <c r="AR63" s="627">
        <f t="shared" si="46"/>
        <v>36239</v>
      </c>
      <c r="AS63" s="627">
        <f t="shared" si="46"/>
        <v>1298</v>
      </c>
      <c r="AT63" s="627">
        <f t="shared" si="46"/>
        <v>4200</v>
      </c>
      <c r="AU63" s="627">
        <f t="shared" si="39"/>
        <v>0</v>
      </c>
      <c r="AV63" s="627">
        <f t="shared" si="40"/>
        <v>0</v>
      </c>
      <c r="AW63" s="627">
        <f t="shared" si="41"/>
        <v>0</v>
      </c>
      <c r="AX63" s="627">
        <f t="shared" si="42"/>
        <v>0</v>
      </c>
      <c r="AY63" s="627">
        <f t="shared" si="43"/>
        <v>32950.89</v>
      </c>
      <c r="AZ63" s="627">
        <f t="shared" si="44"/>
        <v>32950.89</v>
      </c>
      <c r="BA63" s="627">
        <v>1000</v>
      </c>
      <c r="BB63" s="658">
        <f>+Tabla2[[#This Row],[COSTO QUIMICA ]]/Tabla2[[#This Row],[VOLUMEN ENVIADO A RO (m3)]]</f>
        <v>105</v>
      </c>
    </row>
    <row r="64" spans="1:54" ht="15.75" thickBot="1" x14ac:dyDescent="0.3">
      <c r="A64" s="647">
        <f>+A63</f>
        <v>46133</v>
      </c>
      <c r="B64" s="648">
        <f>DAY(Tabla2[[#This Row],[FECHA]])</f>
        <v>21</v>
      </c>
      <c r="C64" s="649" t="s">
        <v>30</v>
      </c>
      <c r="D64" s="115"/>
      <c r="E64" s="115"/>
      <c r="F64" s="115"/>
      <c r="G64" s="115"/>
      <c r="H64" s="115"/>
      <c r="I64" s="650" t="e">
        <f>Tabla2[[#This Row],[VOLUMEN ENVIADO A RO (m3)]]/Tabla2[[#This Row],[Q DE OPERACIÓN (m3/h)]]</f>
        <v>#DIV/0!</v>
      </c>
      <c r="J64" s="124">
        <v>300.41300000000001</v>
      </c>
      <c r="K64" s="184"/>
      <c r="L64" s="184">
        <v>0</v>
      </c>
      <c r="M64" s="184">
        <v>0</v>
      </c>
      <c r="N64" s="184">
        <v>0</v>
      </c>
      <c r="O64" s="184">
        <v>0</v>
      </c>
      <c r="P64" s="184">
        <v>0</v>
      </c>
      <c r="Q64" s="124">
        <f t="shared" si="29"/>
        <v>0</v>
      </c>
      <c r="R64" s="124">
        <f t="shared" si="30"/>
        <v>0</v>
      </c>
      <c r="S64" s="124">
        <f t="shared" si="31"/>
        <v>0</v>
      </c>
      <c r="T64" s="124">
        <f t="shared" si="32"/>
        <v>0</v>
      </c>
      <c r="U64" s="124">
        <f t="shared" si="33"/>
        <v>0</v>
      </c>
      <c r="V64" s="124">
        <f t="shared" si="17"/>
        <v>0</v>
      </c>
      <c r="W64" s="124">
        <f t="shared" si="18"/>
        <v>0</v>
      </c>
      <c r="X64" s="124">
        <f t="shared" si="19"/>
        <v>0</v>
      </c>
      <c r="Y64" s="124">
        <f t="shared" si="20"/>
        <v>0</v>
      </c>
      <c r="Z64" s="124">
        <f t="shared" si="21"/>
        <v>0</v>
      </c>
      <c r="AA64" s="651">
        <v>1.18</v>
      </c>
      <c r="AB64" s="651">
        <v>1.28</v>
      </c>
      <c r="AC64" s="651">
        <v>1.2</v>
      </c>
      <c r="AD64" s="651">
        <v>1.53</v>
      </c>
      <c r="AE64" s="651">
        <v>1.2</v>
      </c>
      <c r="AF64" s="124">
        <f t="shared" si="22"/>
        <v>0</v>
      </c>
      <c r="AG64" s="124">
        <f t="shared" si="23"/>
        <v>0</v>
      </c>
      <c r="AH64" s="124">
        <f t="shared" si="24"/>
        <v>0</v>
      </c>
      <c r="AI64" s="124">
        <f t="shared" si="25"/>
        <v>0</v>
      </c>
      <c r="AJ64" s="124">
        <f t="shared" si="26"/>
        <v>0</v>
      </c>
      <c r="AK64" s="652">
        <f t="shared" si="34"/>
        <v>0</v>
      </c>
      <c r="AL64" s="652">
        <f t="shared" si="35"/>
        <v>0</v>
      </c>
      <c r="AM64" s="652">
        <f t="shared" si="36"/>
        <v>0</v>
      </c>
      <c r="AN64" s="652">
        <f t="shared" si="37"/>
        <v>0</v>
      </c>
      <c r="AO64" s="652">
        <f t="shared" si="38"/>
        <v>0</v>
      </c>
      <c r="AP64" s="653">
        <f t="shared" si="46"/>
        <v>1650</v>
      </c>
      <c r="AQ64" s="653">
        <f t="shared" si="46"/>
        <v>19160</v>
      </c>
      <c r="AR64" s="653">
        <f t="shared" si="46"/>
        <v>36239</v>
      </c>
      <c r="AS64" s="653">
        <f t="shared" si="46"/>
        <v>1298</v>
      </c>
      <c r="AT64" s="653">
        <f t="shared" si="46"/>
        <v>4200</v>
      </c>
      <c r="AU64" s="653">
        <f t="shared" si="39"/>
        <v>0</v>
      </c>
      <c r="AV64" s="653">
        <f t="shared" si="40"/>
        <v>0</v>
      </c>
      <c r="AW64" s="653">
        <f t="shared" si="41"/>
        <v>0</v>
      </c>
      <c r="AX64" s="653">
        <f t="shared" si="42"/>
        <v>0</v>
      </c>
      <c r="AY64" s="653">
        <f t="shared" si="43"/>
        <v>31543.365000000002</v>
      </c>
      <c r="AZ64" s="653">
        <f t="shared" si="44"/>
        <v>31543.365000000002</v>
      </c>
      <c r="BA64" s="653">
        <v>1000</v>
      </c>
      <c r="BB64" s="659">
        <f>+Tabla2[[#This Row],[COSTO QUIMICA ]]/Tabla2[[#This Row],[VOLUMEN ENVIADO A RO (m3)]]</f>
        <v>105</v>
      </c>
    </row>
    <row r="65" spans="1:54" x14ac:dyDescent="0.25">
      <c r="A65" s="640">
        <f>+A64+1</f>
        <v>46134</v>
      </c>
      <c r="B65" s="641">
        <f>DAY(Tabla2[[#This Row],[FECHA]])</f>
        <v>22</v>
      </c>
      <c r="C65" s="642" t="s">
        <v>28</v>
      </c>
      <c r="D65" s="117"/>
      <c r="E65" s="117"/>
      <c r="F65" s="117"/>
      <c r="G65" s="117"/>
      <c r="H65" s="117"/>
      <c r="I65" s="643" t="e">
        <f>Tabla2[[#This Row],[VOLUMEN ENVIADO A RO (m3)]]/Tabla2[[#This Row],[Q DE OPERACIÓN (m3/h)]]</f>
        <v>#DIV/0!</v>
      </c>
      <c r="J65" s="125">
        <v>260.72399999999999</v>
      </c>
      <c r="K65" s="182"/>
      <c r="L65" s="182">
        <v>0</v>
      </c>
      <c r="M65" s="182">
        <v>0</v>
      </c>
      <c r="N65" s="182">
        <v>0</v>
      </c>
      <c r="O65" s="182">
        <v>0</v>
      </c>
      <c r="P65" s="182">
        <v>0</v>
      </c>
      <c r="Q65" s="125">
        <f t="shared" si="29"/>
        <v>0</v>
      </c>
      <c r="R65" s="125">
        <f t="shared" si="30"/>
        <v>0</v>
      </c>
      <c r="S65" s="125">
        <f t="shared" si="31"/>
        <v>0</v>
      </c>
      <c r="T65" s="125">
        <f t="shared" si="32"/>
        <v>0</v>
      </c>
      <c r="U65" s="125">
        <f t="shared" si="33"/>
        <v>0</v>
      </c>
      <c r="V65" s="125">
        <f t="shared" si="17"/>
        <v>0</v>
      </c>
      <c r="W65" s="125">
        <f t="shared" si="18"/>
        <v>0</v>
      </c>
      <c r="X65" s="125">
        <f t="shared" si="19"/>
        <v>0</v>
      </c>
      <c r="Y65" s="125">
        <f t="shared" si="20"/>
        <v>0</v>
      </c>
      <c r="Z65" s="125">
        <f t="shared" si="21"/>
        <v>0</v>
      </c>
      <c r="AA65" s="644">
        <v>1.18</v>
      </c>
      <c r="AB65" s="644">
        <v>1.28</v>
      </c>
      <c r="AC65" s="644">
        <v>1.2</v>
      </c>
      <c r="AD65" s="644">
        <v>1.53</v>
      </c>
      <c r="AE65" s="644">
        <v>1.2</v>
      </c>
      <c r="AF65" s="125">
        <f t="shared" si="22"/>
        <v>0</v>
      </c>
      <c r="AG65" s="125">
        <f t="shared" si="23"/>
        <v>0</v>
      </c>
      <c r="AH65" s="125">
        <f t="shared" si="24"/>
        <v>0</v>
      </c>
      <c r="AI65" s="125">
        <f t="shared" si="25"/>
        <v>0</v>
      </c>
      <c r="AJ65" s="125">
        <f t="shared" si="26"/>
        <v>0</v>
      </c>
      <c r="AK65" s="617">
        <f t="shared" si="34"/>
        <v>0</v>
      </c>
      <c r="AL65" s="617">
        <f t="shared" si="35"/>
        <v>0</v>
      </c>
      <c r="AM65" s="617">
        <f t="shared" si="36"/>
        <v>0</v>
      </c>
      <c r="AN65" s="617">
        <f t="shared" si="37"/>
        <v>0</v>
      </c>
      <c r="AO65" s="617">
        <f t="shared" si="38"/>
        <v>0</v>
      </c>
      <c r="AP65" s="645">
        <f t="shared" si="46"/>
        <v>1650</v>
      </c>
      <c r="AQ65" s="645">
        <f t="shared" si="46"/>
        <v>19160</v>
      </c>
      <c r="AR65" s="645">
        <f t="shared" si="46"/>
        <v>36239</v>
      </c>
      <c r="AS65" s="645">
        <f t="shared" si="46"/>
        <v>1298</v>
      </c>
      <c r="AT65" s="645">
        <f t="shared" si="46"/>
        <v>4200</v>
      </c>
      <c r="AU65" s="645">
        <f t="shared" si="39"/>
        <v>0</v>
      </c>
      <c r="AV65" s="645">
        <f t="shared" si="40"/>
        <v>0</v>
      </c>
      <c r="AW65" s="645">
        <f t="shared" si="41"/>
        <v>0</v>
      </c>
      <c r="AX65" s="645">
        <f t="shared" si="42"/>
        <v>0</v>
      </c>
      <c r="AY65" s="645">
        <f t="shared" si="43"/>
        <v>27376.02</v>
      </c>
      <c r="AZ65" s="645">
        <f t="shared" si="44"/>
        <v>27376.02</v>
      </c>
      <c r="BA65" s="645">
        <v>1000</v>
      </c>
      <c r="BB65" s="657">
        <f>+Tabla2[[#This Row],[COSTO QUIMICA ]]/Tabla2[[#This Row],[VOLUMEN ENVIADO A RO (m3)]]</f>
        <v>105</v>
      </c>
    </row>
    <row r="66" spans="1:54" x14ac:dyDescent="0.25">
      <c r="A66" s="646">
        <f>+A65</f>
        <v>46134</v>
      </c>
      <c r="B66" s="610">
        <f>DAY(Tabla2[[#This Row],[FECHA]])</f>
        <v>22</v>
      </c>
      <c r="C66" s="628" t="s">
        <v>29</v>
      </c>
      <c r="D66" s="114"/>
      <c r="E66" s="114"/>
      <c r="F66" s="114"/>
      <c r="G66" s="114"/>
      <c r="H66" s="114"/>
      <c r="I66" s="625" t="e">
        <f>Tabla2[[#This Row],[VOLUMEN ENVIADO A RO (m3)]]/Tabla2[[#This Row],[Q DE OPERACIÓN (m3/h)]]</f>
        <v>#DIV/0!</v>
      </c>
      <c r="J66" s="123">
        <v>304.88600000000002</v>
      </c>
      <c r="K66" s="183"/>
      <c r="L66" s="183">
        <v>0</v>
      </c>
      <c r="M66" s="183">
        <v>0</v>
      </c>
      <c r="N66" s="183">
        <v>0</v>
      </c>
      <c r="O66" s="183">
        <v>0</v>
      </c>
      <c r="P66" s="183">
        <v>0</v>
      </c>
      <c r="Q66" s="123">
        <f t="shared" ref="Q66:Q95" si="47">L66*(1000/114)</f>
        <v>0</v>
      </c>
      <c r="R66" s="123">
        <f t="shared" ref="R66:R95" si="48">M66*(1000/114)</f>
        <v>0</v>
      </c>
      <c r="S66" s="123">
        <f t="shared" ref="S66:S95" si="49">N66*(1000/114)</f>
        <v>0</v>
      </c>
      <c r="T66" s="123">
        <f t="shared" ref="T66:T95" si="50">O66*(1000/114)</f>
        <v>0</v>
      </c>
      <c r="U66" s="123">
        <f t="shared" ref="U66:U95" si="51">P66*(1000/114)</f>
        <v>0</v>
      </c>
      <c r="V66" s="123">
        <f t="shared" si="17"/>
        <v>0</v>
      </c>
      <c r="W66" s="123">
        <f t="shared" si="18"/>
        <v>0</v>
      </c>
      <c r="X66" s="123">
        <f t="shared" si="19"/>
        <v>0</v>
      </c>
      <c r="Y66" s="123">
        <f t="shared" si="20"/>
        <v>0</v>
      </c>
      <c r="Z66" s="123">
        <f t="shared" si="21"/>
        <v>0</v>
      </c>
      <c r="AA66" s="626">
        <v>1.18</v>
      </c>
      <c r="AB66" s="626">
        <v>1.28</v>
      </c>
      <c r="AC66" s="626">
        <v>1.2</v>
      </c>
      <c r="AD66" s="626">
        <v>1.53</v>
      </c>
      <c r="AE66" s="626">
        <v>1.2</v>
      </c>
      <c r="AF66" s="123">
        <f t="shared" si="22"/>
        <v>0</v>
      </c>
      <c r="AG66" s="123">
        <f t="shared" si="23"/>
        <v>0</v>
      </c>
      <c r="AH66" s="123">
        <f t="shared" si="24"/>
        <v>0</v>
      </c>
      <c r="AI66" s="123">
        <f t="shared" si="25"/>
        <v>0</v>
      </c>
      <c r="AJ66" s="123">
        <f t="shared" si="26"/>
        <v>0</v>
      </c>
      <c r="AK66" s="615">
        <f t="shared" ref="AK66:AK95" si="52">(AF66*1000)/$J66</f>
        <v>0</v>
      </c>
      <c r="AL66" s="615">
        <f t="shared" ref="AL66:AL95" si="53">(AG66*1000)/$J66</f>
        <v>0</v>
      </c>
      <c r="AM66" s="615">
        <f t="shared" ref="AM66:AM95" si="54">(AH66*1000)/$J66</f>
        <v>0</v>
      </c>
      <c r="AN66" s="615">
        <f t="shared" ref="AN66:AN95" si="55">(AI66*1000)/$J66</f>
        <v>0</v>
      </c>
      <c r="AO66" s="615">
        <f t="shared" ref="AO66:AO95" si="56">(AJ66*1000)/$J66</f>
        <v>0</v>
      </c>
      <c r="AP66" s="627">
        <f t="shared" si="46"/>
        <v>1650</v>
      </c>
      <c r="AQ66" s="627">
        <f t="shared" si="46"/>
        <v>19160</v>
      </c>
      <c r="AR66" s="627">
        <f t="shared" si="46"/>
        <v>36239</v>
      </c>
      <c r="AS66" s="627">
        <f t="shared" si="46"/>
        <v>1298</v>
      </c>
      <c r="AT66" s="627">
        <f t="shared" si="46"/>
        <v>4200</v>
      </c>
      <c r="AU66" s="627">
        <f t="shared" ref="AU66:AU95" si="57">AP66*(AG66*0.8)</f>
        <v>0</v>
      </c>
      <c r="AV66" s="627">
        <f t="shared" ref="AV66:AV95" si="58">AQ66*(AH66*0.012)</f>
        <v>0</v>
      </c>
      <c r="AW66" s="627">
        <f t="shared" ref="AW66:AW95" si="59">AR66*(AI66*0.044)</f>
        <v>0</v>
      </c>
      <c r="AX66" s="627">
        <f t="shared" ref="AX66:AX95" si="60">AS66*AJ66</f>
        <v>0</v>
      </c>
      <c r="AY66" s="627">
        <f t="shared" ref="AY66:AY95" si="61">AT66*(J66*0.025)</f>
        <v>32013.030000000006</v>
      </c>
      <c r="AZ66" s="627">
        <f t="shared" ref="AZ66:AZ95" si="62">AU66+AV66+AW66+AX66+AY66</f>
        <v>32013.030000000006</v>
      </c>
      <c r="BA66" s="627">
        <v>1000</v>
      </c>
      <c r="BB66" s="658">
        <f>+Tabla2[[#This Row],[COSTO QUIMICA ]]/Tabla2[[#This Row],[VOLUMEN ENVIADO A RO (m3)]]</f>
        <v>105.00000000000001</v>
      </c>
    </row>
    <row r="67" spans="1:54" ht="15.75" thickBot="1" x14ac:dyDescent="0.3">
      <c r="A67" s="647">
        <f>+A66</f>
        <v>46134</v>
      </c>
      <c r="B67" s="648">
        <f>DAY(Tabla2[[#This Row],[FECHA]])</f>
        <v>22</v>
      </c>
      <c r="C67" s="649" t="s">
        <v>30</v>
      </c>
      <c r="D67" s="115"/>
      <c r="E67" s="115"/>
      <c r="F67" s="115"/>
      <c r="G67" s="115"/>
      <c r="H67" s="115"/>
      <c r="I67" s="650" t="e">
        <f>Tabla2[[#This Row],[VOLUMEN ENVIADO A RO (m3)]]/Tabla2[[#This Row],[Q DE OPERACIÓN (m3/h)]]</f>
        <v>#DIV/0!</v>
      </c>
      <c r="J67" s="124">
        <v>307.084</v>
      </c>
      <c r="K67" s="184"/>
      <c r="L67" s="184">
        <v>0</v>
      </c>
      <c r="M67" s="184">
        <v>0</v>
      </c>
      <c r="N67" s="184">
        <v>0</v>
      </c>
      <c r="O67" s="184">
        <v>0</v>
      </c>
      <c r="P67" s="184">
        <v>0</v>
      </c>
      <c r="Q67" s="124">
        <f t="shared" si="47"/>
        <v>0</v>
      </c>
      <c r="R67" s="124">
        <f t="shared" si="48"/>
        <v>0</v>
      </c>
      <c r="S67" s="124">
        <f t="shared" si="49"/>
        <v>0</v>
      </c>
      <c r="T67" s="124">
        <f t="shared" si="50"/>
        <v>0</v>
      </c>
      <c r="U67" s="124">
        <f t="shared" si="51"/>
        <v>0</v>
      </c>
      <c r="V67" s="124">
        <f t="shared" ref="V67:V95" si="63">Q67-Q68</f>
        <v>0</v>
      </c>
      <c r="W67" s="124">
        <f t="shared" ref="W67:W95" si="64">R67-R68</f>
        <v>0</v>
      </c>
      <c r="X67" s="124">
        <f t="shared" ref="X67:X95" si="65">S67-S68</f>
        <v>0</v>
      </c>
      <c r="Y67" s="124">
        <f t="shared" ref="Y67:Y95" si="66">T67-T68</f>
        <v>0</v>
      </c>
      <c r="Z67" s="124">
        <f t="shared" ref="Z67:Z95" si="67">U67-U68</f>
        <v>0</v>
      </c>
      <c r="AA67" s="651">
        <v>1.18</v>
      </c>
      <c r="AB67" s="651">
        <v>1.28</v>
      </c>
      <c r="AC67" s="651">
        <v>1.2</v>
      </c>
      <c r="AD67" s="651">
        <v>1.53</v>
      </c>
      <c r="AE67" s="651">
        <v>1.2</v>
      </c>
      <c r="AF67" s="124">
        <f t="shared" ref="AF67:AF95" si="68">V67*AA67</f>
        <v>0</v>
      </c>
      <c r="AG67" s="124">
        <f t="shared" ref="AG67:AG95" si="69">W67*AB67</f>
        <v>0</v>
      </c>
      <c r="AH67" s="124">
        <f t="shared" ref="AH67:AH95" si="70">X67*AC67</f>
        <v>0</v>
      </c>
      <c r="AI67" s="124">
        <f t="shared" ref="AI67:AI95" si="71">Y67*AD67</f>
        <v>0</v>
      </c>
      <c r="AJ67" s="124">
        <f t="shared" ref="AJ67:AJ95" si="72">Z67*AE67</f>
        <v>0</v>
      </c>
      <c r="AK67" s="652">
        <f t="shared" si="52"/>
        <v>0</v>
      </c>
      <c r="AL67" s="652">
        <f t="shared" si="53"/>
        <v>0</v>
      </c>
      <c r="AM67" s="652">
        <f t="shared" si="54"/>
        <v>0</v>
      </c>
      <c r="AN67" s="652">
        <f t="shared" si="55"/>
        <v>0</v>
      </c>
      <c r="AO67" s="652">
        <f t="shared" si="56"/>
        <v>0</v>
      </c>
      <c r="AP67" s="653">
        <f t="shared" ref="AP67:AT82" si="73">AP66</f>
        <v>1650</v>
      </c>
      <c r="AQ67" s="653">
        <f t="shared" si="73"/>
        <v>19160</v>
      </c>
      <c r="AR67" s="653">
        <f t="shared" si="73"/>
        <v>36239</v>
      </c>
      <c r="AS67" s="653">
        <f t="shared" si="73"/>
        <v>1298</v>
      </c>
      <c r="AT67" s="653">
        <f t="shared" si="73"/>
        <v>4200</v>
      </c>
      <c r="AU67" s="653">
        <f t="shared" si="57"/>
        <v>0</v>
      </c>
      <c r="AV67" s="653">
        <f t="shared" si="58"/>
        <v>0</v>
      </c>
      <c r="AW67" s="653">
        <f t="shared" si="59"/>
        <v>0</v>
      </c>
      <c r="AX67" s="653">
        <f t="shared" si="60"/>
        <v>0</v>
      </c>
      <c r="AY67" s="653">
        <f t="shared" si="61"/>
        <v>32243.82</v>
      </c>
      <c r="AZ67" s="653">
        <f t="shared" si="62"/>
        <v>32243.82</v>
      </c>
      <c r="BA67" s="653">
        <v>1000</v>
      </c>
      <c r="BB67" s="659">
        <f>+Tabla2[[#This Row],[COSTO QUIMICA ]]/Tabla2[[#This Row],[VOLUMEN ENVIADO A RO (m3)]]</f>
        <v>105</v>
      </c>
    </row>
    <row r="68" spans="1:54" x14ac:dyDescent="0.25">
      <c r="A68" s="640">
        <f>+A67+1</f>
        <v>46135</v>
      </c>
      <c r="B68" s="641">
        <f>DAY(Tabla2[[#This Row],[FECHA]])</f>
        <v>23</v>
      </c>
      <c r="C68" s="642" t="s">
        <v>28</v>
      </c>
      <c r="D68" s="117"/>
      <c r="E68" s="117"/>
      <c r="F68" s="117"/>
      <c r="G68" s="117"/>
      <c r="H68" s="117"/>
      <c r="I68" s="643" t="e">
        <f>Tabla2[[#This Row],[VOLUMEN ENVIADO A RO (m3)]]/Tabla2[[#This Row],[Q DE OPERACIÓN (m3/h)]]</f>
        <v>#DIV/0!</v>
      </c>
      <c r="J68" s="125">
        <v>253.452</v>
      </c>
      <c r="K68" s="182"/>
      <c r="L68" s="182">
        <v>0</v>
      </c>
      <c r="M68" s="182">
        <v>0</v>
      </c>
      <c r="N68" s="182">
        <v>0</v>
      </c>
      <c r="O68" s="182">
        <v>0</v>
      </c>
      <c r="P68" s="182">
        <v>0</v>
      </c>
      <c r="Q68" s="125">
        <f t="shared" si="47"/>
        <v>0</v>
      </c>
      <c r="R68" s="125">
        <f t="shared" si="48"/>
        <v>0</v>
      </c>
      <c r="S68" s="125">
        <f t="shared" si="49"/>
        <v>0</v>
      </c>
      <c r="T68" s="125">
        <f t="shared" si="50"/>
        <v>0</v>
      </c>
      <c r="U68" s="125">
        <f t="shared" si="51"/>
        <v>0</v>
      </c>
      <c r="V68" s="125">
        <f t="shared" si="63"/>
        <v>0</v>
      </c>
      <c r="W68" s="125">
        <f t="shared" si="64"/>
        <v>0</v>
      </c>
      <c r="X68" s="125">
        <f t="shared" si="65"/>
        <v>0</v>
      </c>
      <c r="Y68" s="125">
        <f t="shared" si="66"/>
        <v>0</v>
      </c>
      <c r="Z68" s="125">
        <f t="shared" si="67"/>
        <v>0</v>
      </c>
      <c r="AA68" s="644">
        <v>1.18</v>
      </c>
      <c r="AB68" s="644">
        <v>1.28</v>
      </c>
      <c r="AC68" s="644">
        <v>1.2</v>
      </c>
      <c r="AD68" s="644">
        <v>1.53</v>
      </c>
      <c r="AE68" s="644">
        <v>1.2</v>
      </c>
      <c r="AF68" s="125">
        <f t="shared" si="68"/>
        <v>0</v>
      </c>
      <c r="AG68" s="125">
        <f t="shared" si="69"/>
        <v>0</v>
      </c>
      <c r="AH68" s="125">
        <f t="shared" si="70"/>
        <v>0</v>
      </c>
      <c r="AI68" s="125">
        <f t="shared" si="71"/>
        <v>0</v>
      </c>
      <c r="AJ68" s="125">
        <f t="shared" si="72"/>
        <v>0</v>
      </c>
      <c r="AK68" s="617">
        <f t="shared" si="52"/>
        <v>0</v>
      </c>
      <c r="AL68" s="617">
        <f t="shared" si="53"/>
        <v>0</v>
      </c>
      <c r="AM68" s="617">
        <f t="shared" si="54"/>
        <v>0</v>
      </c>
      <c r="AN68" s="617">
        <f t="shared" si="55"/>
        <v>0</v>
      </c>
      <c r="AO68" s="617">
        <f t="shared" si="56"/>
        <v>0</v>
      </c>
      <c r="AP68" s="645">
        <f t="shared" si="73"/>
        <v>1650</v>
      </c>
      <c r="AQ68" s="645">
        <f t="shared" si="73"/>
        <v>19160</v>
      </c>
      <c r="AR68" s="645">
        <f t="shared" si="73"/>
        <v>36239</v>
      </c>
      <c r="AS68" s="645">
        <f t="shared" si="73"/>
        <v>1298</v>
      </c>
      <c r="AT68" s="645">
        <f t="shared" si="73"/>
        <v>4200</v>
      </c>
      <c r="AU68" s="645">
        <f t="shared" si="57"/>
        <v>0</v>
      </c>
      <c r="AV68" s="645">
        <f t="shared" si="58"/>
        <v>0</v>
      </c>
      <c r="AW68" s="645">
        <f t="shared" si="59"/>
        <v>0</v>
      </c>
      <c r="AX68" s="645">
        <f t="shared" si="60"/>
        <v>0</v>
      </c>
      <c r="AY68" s="645">
        <f t="shared" si="61"/>
        <v>26612.460000000003</v>
      </c>
      <c r="AZ68" s="645">
        <f t="shared" si="62"/>
        <v>26612.460000000003</v>
      </c>
      <c r="BA68" s="645">
        <v>1000</v>
      </c>
      <c r="BB68" s="657">
        <f>+Tabla2[[#This Row],[COSTO QUIMICA ]]/Tabla2[[#This Row],[VOLUMEN ENVIADO A RO (m3)]]</f>
        <v>105.00000000000001</v>
      </c>
    </row>
    <row r="69" spans="1:54" x14ac:dyDescent="0.25">
      <c r="A69" s="646">
        <f>+A68</f>
        <v>46135</v>
      </c>
      <c r="B69" s="610">
        <f>DAY(Tabla2[[#This Row],[FECHA]])</f>
        <v>23</v>
      </c>
      <c r="C69" s="628" t="s">
        <v>29</v>
      </c>
      <c r="D69" s="114"/>
      <c r="E69" s="114"/>
      <c r="F69" s="114"/>
      <c r="G69" s="114"/>
      <c r="H69" s="114"/>
      <c r="I69" s="625" t="e">
        <f>Tabla2[[#This Row],[VOLUMEN ENVIADO A RO (m3)]]/Tabla2[[#This Row],[Q DE OPERACIÓN (m3/h)]]</f>
        <v>#DIV/0!</v>
      </c>
      <c r="J69" s="123">
        <v>295.52600000000001</v>
      </c>
      <c r="K69" s="183"/>
      <c r="L69" s="183">
        <v>0</v>
      </c>
      <c r="M69" s="183">
        <v>0</v>
      </c>
      <c r="N69" s="183">
        <v>0</v>
      </c>
      <c r="O69" s="183">
        <v>0</v>
      </c>
      <c r="P69" s="183">
        <v>0</v>
      </c>
      <c r="Q69" s="123">
        <f t="shared" si="47"/>
        <v>0</v>
      </c>
      <c r="R69" s="123">
        <f t="shared" si="48"/>
        <v>0</v>
      </c>
      <c r="S69" s="123">
        <f t="shared" si="49"/>
        <v>0</v>
      </c>
      <c r="T69" s="123">
        <f t="shared" si="50"/>
        <v>0</v>
      </c>
      <c r="U69" s="123">
        <f t="shared" si="51"/>
        <v>0</v>
      </c>
      <c r="V69" s="123">
        <f t="shared" si="63"/>
        <v>0</v>
      </c>
      <c r="W69" s="123">
        <f t="shared" si="64"/>
        <v>0</v>
      </c>
      <c r="X69" s="123">
        <f t="shared" si="65"/>
        <v>0</v>
      </c>
      <c r="Y69" s="123">
        <f t="shared" si="66"/>
        <v>0</v>
      </c>
      <c r="Z69" s="123">
        <f t="shared" si="67"/>
        <v>0</v>
      </c>
      <c r="AA69" s="626">
        <v>1.18</v>
      </c>
      <c r="AB69" s="626">
        <v>1.28</v>
      </c>
      <c r="AC69" s="626">
        <v>1.2</v>
      </c>
      <c r="AD69" s="626">
        <v>1.53</v>
      </c>
      <c r="AE69" s="626">
        <v>1.2</v>
      </c>
      <c r="AF69" s="123">
        <f t="shared" si="68"/>
        <v>0</v>
      </c>
      <c r="AG69" s="123">
        <f t="shared" si="69"/>
        <v>0</v>
      </c>
      <c r="AH69" s="123">
        <f t="shared" si="70"/>
        <v>0</v>
      </c>
      <c r="AI69" s="123">
        <f t="shared" si="71"/>
        <v>0</v>
      </c>
      <c r="AJ69" s="123">
        <f t="shared" si="72"/>
        <v>0</v>
      </c>
      <c r="AK69" s="615">
        <f t="shared" si="52"/>
        <v>0</v>
      </c>
      <c r="AL69" s="615">
        <f t="shared" si="53"/>
        <v>0</v>
      </c>
      <c r="AM69" s="615">
        <f t="shared" si="54"/>
        <v>0</v>
      </c>
      <c r="AN69" s="615">
        <f t="shared" si="55"/>
        <v>0</v>
      </c>
      <c r="AO69" s="615">
        <f t="shared" si="56"/>
        <v>0</v>
      </c>
      <c r="AP69" s="627">
        <f t="shared" si="73"/>
        <v>1650</v>
      </c>
      <c r="AQ69" s="627">
        <f t="shared" si="73"/>
        <v>19160</v>
      </c>
      <c r="AR69" s="627">
        <f t="shared" si="73"/>
        <v>36239</v>
      </c>
      <c r="AS69" s="627">
        <f t="shared" si="73"/>
        <v>1298</v>
      </c>
      <c r="AT69" s="627">
        <f t="shared" si="73"/>
        <v>4200</v>
      </c>
      <c r="AU69" s="627">
        <f t="shared" si="57"/>
        <v>0</v>
      </c>
      <c r="AV69" s="627">
        <f t="shared" si="58"/>
        <v>0</v>
      </c>
      <c r="AW69" s="627">
        <f t="shared" si="59"/>
        <v>0</v>
      </c>
      <c r="AX69" s="627">
        <f t="shared" si="60"/>
        <v>0</v>
      </c>
      <c r="AY69" s="627">
        <f t="shared" si="61"/>
        <v>31030.230000000003</v>
      </c>
      <c r="AZ69" s="627">
        <f t="shared" si="62"/>
        <v>31030.230000000003</v>
      </c>
      <c r="BA69" s="627">
        <v>1000</v>
      </c>
      <c r="BB69" s="658">
        <f>+Tabla2[[#This Row],[COSTO QUIMICA ]]/Tabla2[[#This Row],[VOLUMEN ENVIADO A RO (m3)]]</f>
        <v>105.00000000000001</v>
      </c>
    </row>
    <row r="70" spans="1:54" ht="15.75" thickBot="1" x14ac:dyDescent="0.3">
      <c r="A70" s="647">
        <f>+A69</f>
        <v>46135</v>
      </c>
      <c r="B70" s="648">
        <f>DAY(Tabla2[[#This Row],[FECHA]])</f>
        <v>23</v>
      </c>
      <c r="C70" s="649" t="s">
        <v>30</v>
      </c>
      <c r="D70" s="115"/>
      <c r="E70" s="115"/>
      <c r="F70" s="115"/>
      <c r="G70" s="115"/>
      <c r="H70" s="115"/>
      <c r="I70" s="650" t="e">
        <f>Tabla2[[#This Row],[VOLUMEN ENVIADO A RO (m3)]]/Tabla2[[#This Row],[Q DE OPERACIÓN (m3/h)]]</f>
        <v>#DIV/0!</v>
      </c>
      <c r="J70" s="124">
        <v>290.577</v>
      </c>
      <c r="K70" s="184"/>
      <c r="L70" s="184">
        <v>0</v>
      </c>
      <c r="M70" s="184">
        <v>0</v>
      </c>
      <c r="N70" s="184">
        <v>0</v>
      </c>
      <c r="O70" s="184">
        <v>0</v>
      </c>
      <c r="P70" s="184">
        <v>0</v>
      </c>
      <c r="Q70" s="124">
        <f t="shared" si="47"/>
        <v>0</v>
      </c>
      <c r="R70" s="124">
        <f t="shared" si="48"/>
        <v>0</v>
      </c>
      <c r="S70" s="124">
        <f t="shared" si="49"/>
        <v>0</v>
      </c>
      <c r="T70" s="124">
        <f t="shared" si="50"/>
        <v>0</v>
      </c>
      <c r="U70" s="124">
        <f t="shared" si="51"/>
        <v>0</v>
      </c>
      <c r="V70" s="124">
        <f t="shared" si="63"/>
        <v>0</v>
      </c>
      <c r="W70" s="124">
        <f t="shared" si="64"/>
        <v>0</v>
      </c>
      <c r="X70" s="124">
        <f t="shared" si="65"/>
        <v>0</v>
      </c>
      <c r="Y70" s="124">
        <f t="shared" si="66"/>
        <v>0</v>
      </c>
      <c r="Z70" s="124">
        <f t="shared" si="67"/>
        <v>0</v>
      </c>
      <c r="AA70" s="651">
        <v>1.18</v>
      </c>
      <c r="AB70" s="651">
        <v>1.28</v>
      </c>
      <c r="AC70" s="651">
        <v>1.2</v>
      </c>
      <c r="AD70" s="651">
        <v>1.53</v>
      </c>
      <c r="AE70" s="651">
        <v>1.2</v>
      </c>
      <c r="AF70" s="124">
        <f t="shared" si="68"/>
        <v>0</v>
      </c>
      <c r="AG70" s="124">
        <f t="shared" si="69"/>
        <v>0</v>
      </c>
      <c r="AH70" s="124">
        <f t="shared" si="70"/>
        <v>0</v>
      </c>
      <c r="AI70" s="124">
        <f t="shared" si="71"/>
        <v>0</v>
      </c>
      <c r="AJ70" s="124">
        <f t="shared" si="72"/>
        <v>0</v>
      </c>
      <c r="AK70" s="652">
        <f t="shared" si="52"/>
        <v>0</v>
      </c>
      <c r="AL70" s="652">
        <f t="shared" si="53"/>
        <v>0</v>
      </c>
      <c r="AM70" s="652">
        <f t="shared" si="54"/>
        <v>0</v>
      </c>
      <c r="AN70" s="652">
        <f t="shared" si="55"/>
        <v>0</v>
      </c>
      <c r="AO70" s="652">
        <f t="shared" si="56"/>
        <v>0</v>
      </c>
      <c r="AP70" s="653">
        <f t="shared" si="73"/>
        <v>1650</v>
      </c>
      <c r="AQ70" s="653">
        <f t="shared" si="73"/>
        <v>19160</v>
      </c>
      <c r="AR70" s="653">
        <f t="shared" si="73"/>
        <v>36239</v>
      </c>
      <c r="AS70" s="653">
        <f t="shared" si="73"/>
        <v>1298</v>
      </c>
      <c r="AT70" s="653">
        <f t="shared" si="73"/>
        <v>4200</v>
      </c>
      <c r="AU70" s="653">
        <f t="shared" si="57"/>
        <v>0</v>
      </c>
      <c r="AV70" s="653">
        <f t="shared" si="58"/>
        <v>0</v>
      </c>
      <c r="AW70" s="653">
        <f t="shared" si="59"/>
        <v>0</v>
      </c>
      <c r="AX70" s="653">
        <f t="shared" si="60"/>
        <v>0</v>
      </c>
      <c r="AY70" s="653">
        <f t="shared" si="61"/>
        <v>30510.584999999999</v>
      </c>
      <c r="AZ70" s="653">
        <f t="shared" si="62"/>
        <v>30510.584999999999</v>
      </c>
      <c r="BA70" s="653">
        <v>1000</v>
      </c>
      <c r="BB70" s="659">
        <f>+Tabla2[[#This Row],[COSTO QUIMICA ]]/Tabla2[[#This Row],[VOLUMEN ENVIADO A RO (m3)]]</f>
        <v>105</v>
      </c>
    </row>
    <row r="71" spans="1:54" x14ac:dyDescent="0.25">
      <c r="A71" s="640">
        <f>+A70+1</f>
        <v>46136</v>
      </c>
      <c r="B71" s="641">
        <f>DAY(Tabla2[[#This Row],[FECHA]])</f>
        <v>24</v>
      </c>
      <c r="C71" s="642" t="s">
        <v>28</v>
      </c>
      <c r="D71" s="117"/>
      <c r="E71" s="117"/>
      <c r="F71" s="117"/>
      <c r="G71" s="117"/>
      <c r="H71" s="117"/>
      <c r="I71" s="643" t="e">
        <f>Tabla2[[#This Row],[VOLUMEN ENVIADO A RO (m3)]]/Tabla2[[#This Row],[Q DE OPERACIÓN (m3/h)]]</f>
        <v>#DIV/0!</v>
      </c>
      <c r="J71" s="125">
        <v>281.21600000000001</v>
      </c>
      <c r="K71" s="182"/>
      <c r="L71" s="182">
        <v>0</v>
      </c>
      <c r="M71" s="182">
        <v>0</v>
      </c>
      <c r="N71" s="182">
        <v>0</v>
      </c>
      <c r="O71" s="182">
        <v>0</v>
      </c>
      <c r="P71" s="182">
        <v>0</v>
      </c>
      <c r="Q71" s="125">
        <f t="shared" si="47"/>
        <v>0</v>
      </c>
      <c r="R71" s="125">
        <f t="shared" si="48"/>
        <v>0</v>
      </c>
      <c r="S71" s="125">
        <f t="shared" si="49"/>
        <v>0</v>
      </c>
      <c r="T71" s="125">
        <f t="shared" si="50"/>
        <v>0</v>
      </c>
      <c r="U71" s="125">
        <f t="shared" si="51"/>
        <v>0</v>
      </c>
      <c r="V71" s="125">
        <f t="shared" si="63"/>
        <v>0</v>
      </c>
      <c r="W71" s="125">
        <f t="shared" si="64"/>
        <v>0</v>
      </c>
      <c r="X71" s="125">
        <f t="shared" si="65"/>
        <v>0</v>
      </c>
      <c r="Y71" s="125">
        <f t="shared" si="66"/>
        <v>0</v>
      </c>
      <c r="Z71" s="125">
        <f t="shared" si="67"/>
        <v>0</v>
      </c>
      <c r="AA71" s="644">
        <v>1.18</v>
      </c>
      <c r="AB71" s="644">
        <v>1.28</v>
      </c>
      <c r="AC71" s="644">
        <v>1.2</v>
      </c>
      <c r="AD71" s="644">
        <v>1.53</v>
      </c>
      <c r="AE71" s="644">
        <v>1.2</v>
      </c>
      <c r="AF71" s="125">
        <f t="shared" si="68"/>
        <v>0</v>
      </c>
      <c r="AG71" s="125">
        <f t="shared" si="69"/>
        <v>0</v>
      </c>
      <c r="AH71" s="125">
        <f t="shared" si="70"/>
        <v>0</v>
      </c>
      <c r="AI71" s="125">
        <f t="shared" si="71"/>
        <v>0</v>
      </c>
      <c r="AJ71" s="125">
        <f t="shared" si="72"/>
        <v>0</v>
      </c>
      <c r="AK71" s="617">
        <f t="shared" si="52"/>
        <v>0</v>
      </c>
      <c r="AL71" s="617">
        <f t="shared" si="53"/>
        <v>0</v>
      </c>
      <c r="AM71" s="617">
        <f t="shared" si="54"/>
        <v>0</v>
      </c>
      <c r="AN71" s="617">
        <f t="shared" si="55"/>
        <v>0</v>
      </c>
      <c r="AO71" s="617">
        <f t="shared" si="56"/>
        <v>0</v>
      </c>
      <c r="AP71" s="645">
        <f t="shared" si="73"/>
        <v>1650</v>
      </c>
      <c r="AQ71" s="645">
        <f t="shared" si="73"/>
        <v>19160</v>
      </c>
      <c r="AR71" s="645">
        <f t="shared" si="73"/>
        <v>36239</v>
      </c>
      <c r="AS71" s="645">
        <f t="shared" si="73"/>
        <v>1298</v>
      </c>
      <c r="AT71" s="645">
        <f t="shared" si="73"/>
        <v>4200</v>
      </c>
      <c r="AU71" s="645">
        <f t="shared" si="57"/>
        <v>0</v>
      </c>
      <c r="AV71" s="645">
        <f t="shared" si="58"/>
        <v>0</v>
      </c>
      <c r="AW71" s="645">
        <f t="shared" si="59"/>
        <v>0</v>
      </c>
      <c r="AX71" s="645">
        <f t="shared" si="60"/>
        <v>0</v>
      </c>
      <c r="AY71" s="645">
        <f t="shared" si="61"/>
        <v>29527.68</v>
      </c>
      <c r="AZ71" s="645">
        <f t="shared" si="62"/>
        <v>29527.68</v>
      </c>
      <c r="BA71" s="645">
        <v>1000</v>
      </c>
      <c r="BB71" s="657">
        <f>+Tabla2[[#This Row],[COSTO QUIMICA ]]/Tabla2[[#This Row],[VOLUMEN ENVIADO A RO (m3)]]</f>
        <v>105</v>
      </c>
    </row>
    <row r="72" spans="1:54" x14ac:dyDescent="0.25">
      <c r="A72" s="646">
        <f>+A71</f>
        <v>46136</v>
      </c>
      <c r="B72" s="610">
        <f>DAY(Tabla2[[#This Row],[FECHA]])</f>
        <v>24</v>
      </c>
      <c r="C72" s="628" t="s">
        <v>29</v>
      </c>
      <c r="D72" s="114"/>
      <c r="E72" s="114"/>
      <c r="F72" s="114"/>
      <c r="G72" s="114"/>
      <c r="H72" s="114"/>
      <c r="I72" s="625" t="e">
        <f>Tabla2[[#This Row],[VOLUMEN ENVIADO A RO (m3)]]/Tabla2[[#This Row],[Q DE OPERACIÓN (m3/h)]]</f>
        <v>#DIV/0!</v>
      </c>
      <c r="J72" s="123">
        <v>285.12200000000001</v>
      </c>
      <c r="K72" s="183"/>
      <c r="L72" s="183">
        <v>0</v>
      </c>
      <c r="M72" s="183">
        <v>0</v>
      </c>
      <c r="N72" s="183">
        <v>0</v>
      </c>
      <c r="O72" s="183">
        <v>0</v>
      </c>
      <c r="P72" s="183">
        <v>0</v>
      </c>
      <c r="Q72" s="123">
        <f t="shared" si="47"/>
        <v>0</v>
      </c>
      <c r="R72" s="123">
        <f t="shared" si="48"/>
        <v>0</v>
      </c>
      <c r="S72" s="123">
        <f t="shared" si="49"/>
        <v>0</v>
      </c>
      <c r="T72" s="123">
        <f t="shared" si="50"/>
        <v>0</v>
      </c>
      <c r="U72" s="123">
        <f t="shared" si="51"/>
        <v>0</v>
      </c>
      <c r="V72" s="123">
        <f t="shared" si="63"/>
        <v>0</v>
      </c>
      <c r="W72" s="123">
        <f t="shared" si="64"/>
        <v>0</v>
      </c>
      <c r="X72" s="123">
        <f t="shared" si="65"/>
        <v>0</v>
      </c>
      <c r="Y72" s="123">
        <f t="shared" si="66"/>
        <v>0</v>
      </c>
      <c r="Z72" s="123">
        <f t="shared" si="67"/>
        <v>0</v>
      </c>
      <c r="AA72" s="626">
        <v>1.18</v>
      </c>
      <c r="AB72" s="626">
        <v>1.28</v>
      </c>
      <c r="AC72" s="626">
        <v>1.2</v>
      </c>
      <c r="AD72" s="626">
        <v>1.53</v>
      </c>
      <c r="AE72" s="626">
        <v>1.2</v>
      </c>
      <c r="AF72" s="123">
        <f t="shared" si="68"/>
        <v>0</v>
      </c>
      <c r="AG72" s="123">
        <f t="shared" si="69"/>
        <v>0</v>
      </c>
      <c r="AH72" s="123">
        <f t="shared" si="70"/>
        <v>0</v>
      </c>
      <c r="AI72" s="123">
        <f t="shared" si="71"/>
        <v>0</v>
      </c>
      <c r="AJ72" s="123">
        <f t="shared" si="72"/>
        <v>0</v>
      </c>
      <c r="AK72" s="615">
        <f t="shared" si="52"/>
        <v>0</v>
      </c>
      <c r="AL72" s="615">
        <f t="shared" si="53"/>
        <v>0</v>
      </c>
      <c r="AM72" s="615">
        <f t="shared" si="54"/>
        <v>0</v>
      </c>
      <c r="AN72" s="615">
        <f t="shared" si="55"/>
        <v>0</v>
      </c>
      <c r="AO72" s="615">
        <f t="shared" si="56"/>
        <v>0</v>
      </c>
      <c r="AP72" s="627">
        <f t="shared" si="73"/>
        <v>1650</v>
      </c>
      <c r="AQ72" s="627">
        <f t="shared" si="73"/>
        <v>19160</v>
      </c>
      <c r="AR72" s="627">
        <f t="shared" si="73"/>
        <v>36239</v>
      </c>
      <c r="AS72" s="627">
        <f t="shared" si="73"/>
        <v>1298</v>
      </c>
      <c r="AT72" s="627">
        <f t="shared" si="73"/>
        <v>4200</v>
      </c>
      <c r="AU72" s="627">
        <f t="shared" si="57"/>
        <v>0</v>
      </c>
      <c r="AV72" s="627">
        <f t="shared" si="58"/>
        <v>0</v>
      </c>
      <c r="AW72" s="627">
        <f t="shared" si="59"/>
        <v>0</v>
      </c>
      <c r="AX72" s="627">
        <f t="shared" si="60"/>
        <v>0</v>
      </c>
      <c r="AY72" s="627">
        <f t="shared" si="61"/>
        <v>29937.810000000005</v>
      </c>
      <c r="AZ72" s="627">
        <f t="shared" si="62"/>
        <v>29937.810000000005</v>
      </c>
      <c r="BA72" s="627">
        <v>1000</v>
      </c>
      <c r="BB72" s="658">
        <f>+Tabla2[[#This Row],[COSTO QUIMICA ]]/Tabla2[[#This Row],[VOLUMEN ENVIADO A RO (m3)]]</f>
        <v>105.00000000000001</v>
      </c>
    </row>
    <row r="73" spans="1:54" ht="15.75" thickBot="1" x14ac:dyDescent="0.3">
      <c r="A73" s="647">
        <f>+A72</f>
        <v>46136</v>
      </c>
      <c r="B73" s="648">
        <f>DAY(Tabla2[[#This Row],[FECHA]])</f>
        <v>24</v>
      </c>
      <c r="C73" s="649" t="s">
        <v>30</v>
      </c>
      <c r="D73" s="115"/>
      <c r="E73" s="115"/>
      <c r="F73" s="115"/>
      <c r="G73" s="115"/>
      <c r="H73" s="115"/>
      <c r="I73" s="650" t="e">
        <f>Tabla2[[#This Row],[VOLUMEN ENVIADO A RO (m3)]]/Tabla2[[#This Row],[Q DE OPERACIÓN (m3/h)]]</f>
        <v>#DIV/0!</v>
      </c>
      <c r="J73" s="124">
        <v>259.21600000000001</v>
      </c>
      <c r="K73" s="184"/>
      <c r="L73" s="184">
        <v>0</v>
      </c>
      <c r="M73" s="184">
        <v>0</v>
      </c>
      <c r="N73" s="184">
        <v>0</v>
      </c>
      <c r="O73" s="184">
        <v>0</v>
      </c>
      <c r="P73" s="184">
        <v>0</v>
      </c>
      <c r="Q73" s="124">
        <f t="shared" si="47"/>
        <v>0</v>
      </c>
      <c r="R73" s="124">
        <f t="shared" si="48"/>
        <v>0</v>
      </c>
      <c r="S73" s="124">
        <f t="shared" si="49"/>
        <v>0</v>
      </c>
      <c r="T73" s="124">
        <f t="shared" si="50"/>
        <v>0</v>
      </c>
      <c r="U73" s="124">
        <f t="shared" si="51"/>
        <v>0</v>
      </c>
      <c r="V73" s="124">
        <f t="shared" si="63"/>
        <v>0</v>
      </c>
      <c r="W73" s="124">
        <f t="shared" si="64"/>
        <v>0</v>
      </c>
      <c r="X73" s="124">
        <f t="shared" si="65"/>
        <v>0</v>
      </c>
      <c r="Y73" s="124">
        <f t="shared" si="66"/>
        <v>0</v>
      </c>
      <c r="Z73" s="124">
        <f t="shared" si="67"/>
        <v>0</v>
      </c>
      <c r="AA73" s="651">
        <v>1.18</v>
      </c>
      <c r="AB73" s="651">
        <v>1.28</v>
      </c>
      <c r="AC73" s="651">
        <v>1.2</v>
      </c>
      <c r="AD73" s="651">
        <v>1.53</v>
      </c>
      <c r="AE73" s="651">
        <v>1.2</v>
      </c>
      <c r="AF73" s="124">
        <f t="shared" si="68"/>
        <v>0</v>
      </c>
      <c r="AG73" s="124">
        <f t="shared" si="69"/>
        <v>0</v>
      </c>
      <c r="AH73" s="124">
        <f t="shared" si="70"/>
        <v>0</v>
      </c>
      <c r="AI73" s="124">
        <f t="shared" si="71"/>
        <v>0</v>
      </c>
      <c r="AJ73" s="124">
        <f t="shared" si="72"/>
        <v>0</v>
      </c>
      <c r="AK73" s="652">
        <f t="shared" si="52"/>
        <v>0</v>
      </c>
      <c r="AL73" s="652">
        <f t="shared" si="53"/>
        <v>0</v>
      </c>
      <c r="AM73" s="652">
        <f t="shared" si="54"/>
        <v>0</v>
      </c>
      <c r="AN73" s="652">
        <f t="shared" si="55"/>
        <v>0</v>
      </c>
      <c r="AO73" s="652">
        <f t="shared" si="56"/>
        <v>0</v>
      </c>
      <c r="AP73" s="653">
        <f t="shared" si="73"/>
        <v>1650</v>
      </c>
      <c r="AQ73" s="653">
        <f t="shared" si="73"/>
        <v>19160</v>
      </c>
      <c r="AR73" s="653">
        <f t="shared" si="73"/>
        <v>36239</v>
      </c>
      <c r="AS73" s="653">
        <f t="shared" si="73"/>
        <v>1298</v>
      </c>
      <c r="AT73" s="653">
        <f t="shared" si="73"/>
        <v>4200</v>
      </c>
      <c r="AU73" s="653">
        <f t="shared" si="57"/>
        <v>0</v>
      </c>
      <c r="AV73" s="653">
        <f t="shared" si="58"/>
        <v>0</v>
      </c>
      <c r="AW73" s="653">
        <f t="shared" si="59"/>
        <v>0</v>
      </c>
      <c r="AX73" s="653">
        <f t="shared" si="60"/>
        <v>0</v>
      </c>
      <c r="AY73" s="653">
        <f t="shared" si="61"/>
        <v>27217.68</v>
      </c>
      <c r="AZ73" s="653">
        <f t="shared" si="62"/>
        <v>27217.68</v>
      </c>
      <c r="BA73" s="653">
        <v>1000</v>
      </c>
      <c r="BB73" s="659">
        <f>+Tabla2[[#This Row],[COSTO QUIMICA ]]/Tabla2[[#This Row],[VOLUMEN ENVIADO A RO (m3)]]</f>
        <v>105</v>
      </c>
    </row>
    <row r="74" spans="1:54" x14ac:dyDescent="0.25">
      <c r="A74" s="640">
        <f>+A73+1</f>
        <v>46137</v>
      </c>
      <c r="B74" s="641">
        <f>DAY(Tabla2[[#This Row],[FECHA]])</f>
        <v>25</v>
      </c>
      <c r="C74" s="642" t="s">
        <v>28</v>
      </c>
      <c r="D74" s="117"/>
      <c r="E74" s="117"/>
      <c r="F74" s="117"/>
      <c r="G74" s="117"/>
      <c r="H74" s="117"/>
      <c r="I74" s="643" t="e">
        <f>Tabla2[[#This Row],[VOLUMEN ENVIADO A RO (m3)]]/Tabla2[[#This Row],[Q DE OPERACIÓN (m3/h)]]</f>
        <v>#DIV/0!</v>
      </c>
      <c r="J74" s="125">
        <v>394.84800000000001</v>
      </c>
      <c r="K74" s="182"/>
      <c r="L74" s="182">
        <v>0</v>
      </c>
      <c r="M74" s="182">
        <v>0</v>
      </c>
      <c r="N74" s="182">
        <v>0</v>
      </c>
      <c r="O74" s="182">
        <v>0</v>
      </c>
      <c r="P74" s="182">
        <v>0</v>
      </c>
      <c r="Q74" s="125">
        <f t="shared" si="47"/>
        <v>0</v>
      </c>
      <c r="R74" s="125">
        <f t="shared" si="48"/>
        <v>0</v>
      </c>
      <c r="S74" s="125">
        <f t="shared" si="49"/>
        <v>0</v>
      </c>
      <c r="T74" s="125">
        <f t="shared" si="50"/>
        <v>0</v>
      </c>
      <c r="U74" s="125">
        <f t="shared" si="51"/>
        <v>0</v>
      </c>
      <c r="V74" s="125">
        <f t="shared" si="63"/>
        <v>0</v>
      </c>
      <c r="W74" s="125">
        <f t="shared" si="64"/>
        <v>0</v>
      </c>
      <c r="X74" s="125">
        <f t="shared" si="65"/>
        <v>0</v>
      </c>
      <c r="Y74" s="125">
        <f t="shared" si="66"/>
        <v>0</v>
      </c>
      <c r="Z74" s="125">
        <f t="shared" si="67"/>
        <v>0</v>
      </c>
      <c r="AA74" s="644">
        <v>1.18</v>
      </c>
      <c r="AB74" s="644">
        <v>1.28</v>
      </c>
      <c r="AC74" s="644">
        <v>1.2</v>
      </c>
      <c r="AD74" s="644">
        <v>1.53</v>
      </c>
      <c r="AE74" s="644">
        <v>1.2</v>
      </c>
      <c r="AF74" s="125">
        <f t="shared" si="68"/>
        <v>0</v>
      </c>
      <c r="AG74" s="125">
        <f t="shared" si="69"/>
        <v>0</v>
      </c>
      <c r="AH74" s="125">
        <f t="shared" si="70"/>
        <v>0</v>
      </c>
      <c r="AI74" s="125">
        <f t="shared" si="71"/>
        <v>0</v>
      </c>
      <c r="AJ74" s="125">
        <f t="shared" si="72"/>
        <v>0</v>
      </c>
      <c r="AK74" s="617">
        <f t="shared" si="52"/>
        <v>0</v>
      </c>
      <c r="AL74" s="617">
        <f t="shared" si="53"/>
        <v>0</v>
      </c>
      <c r="AM74" s="617">
        <f t="shared" si="54"/>
        <v>0</v>
      </c>
      <c r="AN74" s="617">
        <f t="shared" si="55"/>
        <v>0</v>
      </c>
      <c r="AO74" s="617">
        <f t="shared" si="56"/>
        <v>0</v>
      </c>
      <c r="AP74" s="645">
        <f t="shared" si="73"/>
        <v>1650</v>
      </c>
      <c r="AQ74" s="645">
        <f t="shared" si="73"/>
        <v>19160</v>
      </c>
      <c r="AR74" s="645">
        <f t="shared" si="73"/>
        <v>36239</v>
      </c>
      <c r="AS74" s="645">
        <f t="shared" si="73"/>
        <v>1298</v>
      </c>
      <c r="AT74" s="645">
        <f t="shared" si="73"/>
        <v>4200</v>
      </c>
      <c r="AU74" s="645">
        <f t="shared" si="57"/>
        <v>0</v>
      </c>
      <c r="AV74" s="645">
        <f t="shared" si="58"/>
        <v>0</v>
      </c>
      <c r="AW74" s="645">
        <f t="shared" si="59"/>
        <v>0</v>
      </c>
      <c r="AX74" s="645">
        <f t="shared" si="60"/>
        <v>0</v>
      </c>
      <c r="AY74" s="645">
        <f t="shared" si="61"/>
        <v>41459.040000000008</v>
      </c>
      <c r="AZ74" s="645">
        <f t="shared" si="62"/>
        <v>41459.040000000008</v>
      </c>
      <c r="BA74" s="645">
        <v>1000</v>
      </c>
      <c r="BB74" s="657">
        <f>+Tabla2[[#This Row],[COSTO QUIMICA ]]/Tabla2[[#This Row],[VOLUMEN ENVIADO A RO (m3)]]</f>
        <v>105.00000000000001</v>
      </c>
    </row>
    <row r="75" spans="1:54" x14ac:dyDescent="0.25">
      <c r="A75" s="646">
        <f>+A74</f>
        <v>46137</v>
      </c>
      <c r="B75" s="610">
        <f>DAY(Tabla2[[#This Row],[FECHA]])</f>
        <v>25</v>
      </c>
      <c r="C75" s="628" t="s">
        <v>29</v>
      </c>
      <c r="D75" s="114"/>
      <c r="E75" s="114"/>
      <c r="F75" s="114"/>
      <c r="G75" s="114"/>
      <c r="H75" s="114"/>
      <c r="I75" s="625" t="e">
        <f>Tabla2[[#This Row],[VOLUMEN ENVIADO A RO (m3)]]/Tabla2[[#This Row],[Q DE OPERACIÓN (m3/h)]]</f>
        <v>#DIV/0!</v>
      </c>
      <c r="J75" s="123">
        <v>227.73400000000001</v>
      </c>
      <c r="K75" s="183"/>
      <c r="L75" s="183">
        <v>0</v>
      </c>
      <c r="M75" s="183">
        <v>0</v>
      </c>
      <c r="N75" s="183">
        <v>0</v>
      </c>
      <c r="O75" s="183">
        <v>0</v>
      </c>
      <c r="P75" s="183">
        <v>0</v>
      </c>
      <c r="Q75" s="123">
        <f t="shared" si="47"/>
        <v>0</v>
      </c>
      <c r="R75" s="123">
        <f t="shared" si="48"/>
        <v>0</v>
      </c>
      <c r="S75" s="123">
        <f t="shared" si="49"/>
        <v>0</v>
      </c>
      <c r="T75" s="123">
        <f t="shared" si="50"/>
        <v>0</v>
      </c>
      <c r="U75" s="123">
        <f t="shared" si="51"/>
        <v>0</v>
      </c>
      <c r="V75" s="123">
        <f t="shared" si="63"/>
        <v>0</v>
      </c>
      <c r="W75" s="123">
        <f t="shared" si="64"/>
        <v>0</v>
      </c>
      <c r="X75" s="123">
        <f t="shared" si="65"/>
        <v>0</v>
      </c>
      <c r="Y75" s="123">
        <f t="shared" si="66"/>
        <v>0</v>
      </c>
      <c r="Z75" s="123">
        <f t="shared" si="67"/>
        <v>0</v>
      </c>
      <c r="AA75" s="626">
        <v>1.18</v>
      </c>
      <c r="AB75" s="626">
        <v>1.28</v>
      </c>
      <c r="AC75" s="626">
        <v>1.2</v>
      </c>
      <c r="AD75" s="626">
        <v>1.53</v>
      </c>
      <c r="AE75" s="626">
        <v>1.2</v>
      </c>
      <c r="AF75" s="123">
        <f t="shared" si="68"/>
        <v>0</v>
      </c>
      <c r="AG75" s="123">
        <f t="shared" si="69"/>
        <v>0</v>
      </c>
      <c r="AH75" s="123">
        <f t="shared" si="70"/>
        <v>0</v>
      </c>
      <c r="AI75" s="123">
        <f t="shared" si="71"/>
        <v>0</v>
      </c>
      <c r="AJ75" s="123">
        <f t="shared" si="72"/>
        <v>0</v>
      </c>
      <c r="AK75" s="615">
        <f t="shared" si="52"/>
        <v>0</v>
      </c>
      <c r="AL75" s="615">
        <f t="shared" si="53"/>
        <v>0</v>
      </c>
      <c r="AM75" s="615">
        <f t="shared" si="54"/>
        <v>0</v>
      </c>
      <c r="AN75" s="615">
        <f t="shared" si="55"/>
        <v>0</v>
      </c>
      <c r="AO75" s="615">
        <f t="shared" si="56"/>
        <v>0</v>
      </c>
      <c r="AP75" s="627">
        <f t="shared" si="73"/>
        <v>1650</v>
      </c>
      <c r="AQ75" s="627">
        <f t="shared" si="73"/>
        <v>19160</v>
      </c>
      <c r="AR75" s="627">
        <f t="shared" si="73"/>
        <v>36239</v>
      </c>
      <c r="AS75" s="627">
        <f t="shared" si="73"/>
        <v>1298</v>
      </c>
      <c r="AT75" s="627">
        <f t="shared" si="73"/>
        <v>4200</v>
      </c>
      <c r="AU75" s="627">
        <f t="shared" si="57"/>
        <v>0</v>
      </c>
      <c r="AV75" s="627">
        <f t="shared" si="58"/>
        <v>0</v>
      </c>
      <c r="AW75" s="627">
        <f t="shared" si="59"/>
        <v>0</v>
      </c>
      <c r="AX75" s="627">
        <f t="shared" si="60"/>
        <v>0</v>
      </c>
      <c r="AY75" s="627">
        <f t="shared" si="61"/>
        <v>23912.070000000003</v>
      </c>
      <c r="AZ75" s="627">
        <f t="shared" si="62"/>
        <v>23912.070000000003</v>
      </c>
      <c r="BA75" s="627">
        <v>1000</v>
      </c>
      <c r="BB75" s="658">
        <f>+Tabla2[[#This Row],[COSTO QUIMICA ]]/Tabla2[[#This Row],[VOLUMEN ENVIADO A RO (m3)]]</f>
        <v>105.00000000000001</v>
      </c>
    </row>
    <row r="76" spans="1:54" ht="15.75" thickBot="1" x14ac:dyDescent="0.3">
      <c r="A76" s="647">
        <f>+A75</f>
        <v>46137</v>
      </c>
      <c r="B76" s="648">
        <f>DAY(Tabla2[[#This Row],[FECHA]])</f>
        <v>25</v>
      </c>
      <c r="C76" s="649" t="s">
        <v>30</v>
      </c>
      <c r="D76" s="115"/>
      <c r="E76" s="115"/>
      <c r="F76" s="115"/>
      <c r="G76" s="115"/>
      <c r="H76" s="115"/>
      <c r="I76" s="650" t="e">
        <f>Tabla2[[#This Row],[VOLUMEN ENVIADO A RO (m3)]]/Tabla2[[#This Row],[Q DE OPERACIÓN (m3/h)]]</f>
        <v>#DIV/0!</v>
      </c>
      <c r="J76" s="124">
        <v>0</v>
      </c>
      <c r="K76" s="184"/>
      <c r="L76" s="184">
        <v>0</v>
      </c>
      <c r="M76" s="184">
        <v>0</v>
      </c>
      <c r="N76" s="184">
        <v>0</v>
      </c>
      <c r="O76" s="184">
        <v>0</v>
      </c>
      <c r="P76" s="184">
        <v>0</v>
      </c>
      <c r="Q76" s="124">
        <f t="shared" si="47"/>
        <v>0</v>
      </c>
      <c r="R76" s="124">
        <f t="shared" si="48"/>
        <v>0</v>
      </c>
      <c r="S76" s="124">
        <f t="shared" si="49"/>
        <v>0</v>
      </c>
      <c r="T76" s="124">
        <f t="shared" si="50"/>
        <v>0</v>
      </c>
      <c r="U76" s="124">
        <f t="shared" si="51"/>
        <v>0</v>
      </c>
      <c r="V76" s="124">
        <f t="shared" si="63"/>
        <v>0</v>
      </c>
      <c r="W76" s="124">
        <f t="shared" si="64"/>
        <v>0</v>
      </c>
      <c r="X76" s="124">
        <f t="shared" si="65"/>
        <v>0</v>
      </c>
      <c r="Y76" s="124">
        <f t="shared" si="66"/>
        <v>0</v>
      </c>
      <c r="Z76" s="124">
        <f t="shared" si="67"/>
        <v>0</v>
      </c>
      <c r="AA76" s="651">
        <v>1.18</v>
      </c>
      <c r="AB76" s="651">
        <v>1.28</v>
      </c>
      <c r="AC76" s="651">
        <v>1.2</v>
      </c>
      <c r="AD76" s="651">
        <v>1.53</v>
      </c>
      <c r="AE76" s="651">
        <v>1.2</v>
      </c>
      <c r="AF76" s="124">
        <f t="shared" si="68"/>
        <v>0</v>
      </c>
      <c r="AG76" s="124">
        <f t="shared" si="69"/>
        <v>0</v>
      </c>
      <c r="AH76" s="124">
        <f t="shared" si="70"/>
        <v>0</v>
      </c>
      <c r="AI76" s="124">
        <f t="shared" si="71"/>
        <v>0</v>
      </c>
      <c r="AJ76" s="124">
        <f t="shared" si="72"/>
        <v>0</v>
      </c>
      <c r="AK76" s="652" t="e">
        <f t="shared" si="52"/>
        <v>#DIV/0!</v>
      </c>
      <c r="AL76" s="652" t="e">
        <f t="shared" si="53"/>
        <v>#DIV/0!</v>
      </c>
      <c r="AM76" s="652" t="e">
        <f t="shared" si="54"/>
        <v>#DIV/0!</v>
      </c>
      <c r="AN76" s="652" t="e">
        <f t="shared" si="55"/>
        <v>#DIV/0!</v>
      </c>
      <c r="AO76" s="652" t="e">
        <f t="shared" si="56"/>
        <v>#DIV/0!</v>
      </c>
      <c r="AP76" s="653">
        <f t="shared" si="73"/>
        <v>1650</v>
      </c>
      <c r="AQ76" s="653">
        <f t="shared" si="73"/>
        <v>19160</v>
      </c>
      <c r="AR76" s="653">
        <f t="shared" si="73"/>
        <v>36239</v>
      </c>
      <c r="AS76" s="653">
        <f t="shared" si="73"/>
        <v>1298</v>
      </c>
      <c r="AT76" s="653">
        <f t="shared" si="73"/>
        <v>4200</v>
      </c>
      <c r="AU76" s="653">
        <f t="shared" si="57"/>
        <v>0</v>
      </c>
      <c r="AV76" s="653">
        <f t="shared" si="58"/>
        <v>0</v>
      </c>
      <c r="AW76" s="653">
        <f t="shared" si="59"/>
        <v>0</v>
      </c>
      <c r="AX76" s="653">
        <f t="shared" si="60"/>
        <v>0</v>
      </c>
      <c r="AY76" s="653">
        <f t="shared" si="61"/>
        <v>0</v>
      </c>
      <c r="AZ76" s="653">
        <f t="shared" si="62"/>
        <v>0</v>
      </c>
      <c r="BA76" s="653">
        <v>1000</v>
      </c>
      <c r="BB76" s="659" t="e">
        <f>+Tabla2[[#This Row],[COSTO QUIMICA ]]/Tabla2[[#This Row],[VOLUMEN ENVIADO A RO (m3)]]</f>
        <v>#DIV/0!</v>
      </c>
    </row>
    <row r="77" spans="1:54" x14ac:dyDescent="0.25">
      <c r="A77" s="640">
        <f>+A76+1</f>
        <v>46138</v>
      </c>
      <c r="B77" s="641">
        <f>DAY(Tabla2[[#This Row],[FECHA]])</f>
        <v>26</v>
      </c>
      <c r="C77" s="642" t="s">
        <v>28</v>
      </c>
      <c r="D77" s="117"/>
      <c r="E77" s="117"/>
      <c r="F77" s="117"/>
      <c r="G77" s="117"/>
      <c r="H77" s="117"/>
      <c r="I77" s="643" t="e">
        <f>Tabla2[[#This Row],[VOLUMEN ENVIADO A RO (m3)]]/Tabla2[[#This Row],[Q DE OPERACIÓN (m3/h)]]</f>
        <v>#DIV/0!</v>
      </c>
      <c r="J77" s="125">
        <v>0</v>
      </c>
      <c r="K77" s="182"/>
      <c r="L77" s="182">
        <v>0</v>
      </c>
      <c r="M77" s="182">
        <v>0</v>
      </c>
      <c r="N77" s="182">
        <v>0</v>
      </c>
      <c r="O77" s="182">
        <v>0</v>
      </c>
      <c r="P77" s="182">
        <v>0</v>
      </c>
      <c r="Q77" s="125">
        <f t="shared" si="47"/>
        <v>0</v>
      </c>
      <c r="R77" s="125">
        <f t="shared" si="48"/>
        <v>0</v>
      </c>
      <c r="S77" s="125">
        <f t="shared" si="49"/>
        <v>0</v>
      </c>
      <c r="T77" s="125">
        <f t="shared" si="50"/>
        <v>0</v>
      </c>
      <c r="U77" s="125">
        <f t="shared" si="51"/>
        <v>0</v>
      </c>
      <c r="V77" s="125">
        <f t="shared" si="63"/>
        <v>0</v>
      </c>
      <c r="W77" s="125">
        <f t="shared" si="64"/>
        <v>0</v>
      </c>
      <c r="X77" s="125">
        <f t="shared" si="65"/>
        <v>0</v>
      </c>
      <c r="Y77" s="125">
        <f t="shared" si="66"/>
        <v>0</v>
      </c>
      <c r="Z77" s="125">
        <f t="shared" si="67"/>
        <v>0</v>
      </c>
      <c r="AA77" s="644">
        <v>1.18</v>
      </c>
      <c r="AB77" s="644">
        <v>1.28</v>
      </c>
      <c r="AC77" s="644">
        <v>1.2</v>
      </c>
      <c r="AD77" s="644">
        <v>1.53</v>
      </c>
      <c r="AE77" s="644">
        <v>1.2</v>
      </c>
      <c r="AF77" s="125">
        <f t="shared" si="68"/>
        <v>0</v>
      </c>
      <c r="AG77" s="125">
        <f t="shared" si="69"/>
        <v>0</v>
      </c>
      <c r="AH77" s="125">
        <f t="shared" si="70"/>
        <v>0</v>
      </c>
      <c r="AI77" s="125">
        <f t="shared" si="71"/>
        <v>0</v>
      </c>
      <c r="AJ77" s="125">
        <f t="shared" si="72"/>
        <v>0</v>
      </c>
      <c r="AK77" s="617" t="e">
        <f t="shared" si="52"/>
        <v>#DIV/0!</v>
      </c>
      <c r="AL77" s="617" t="e">
        <f t="shared" si="53"/>
        <v>#DIV/0!</v>
      </c>
      <c r="AM77" s="617" t="e">
        <f t="shared" si="54"/>
        <v>#DIV/0!</v>
      </c>
      <c r="AN77" s="617" t="e">
        <f t="shared" si="55"/>
        <v>#DIV/0!</v>
      </c>
      <c r="AO77" s="617" t="e">
        <f t="shared" si="56"/>
        <v>#DIV/0!</v>
      </c>
      <c r="AP77" s="645">
        <f t="shared" si="73"/>
        <v>1650</v>
      </c>
      <c r="AQ77" s="645">
        <f t="shared" si="73"/>
        <v>19160</v>
      </c>
      <c r="AR77" s="645">
        <f t="shared" si="73"/>
        <v>36239</v>
      </c>
      <c r="AS77" s="645">
        <f t="shared" si="73"/>
        <v>1298</v>
      </c>
      <c r="AT77" s="645">
        <f t="shared" si="73"/>
        <v>4200</v>
      </c>
      <c r="AU77" s="645">
        <f t="shared" si="57"/>
        <v>0</v>
      </c>
      <c r="AV77" s="645">
        <f t="shared" si="58"/>
        <v>0</v>
      </c>
      <c r="AW77" s="645">
        <f t="shared" si="59"/>
        <v>0</v>
      </c>
      <c r="AX77" s="645">
        <f t="shared" si="60"/>
        <v>0</v>
      </c>
      <c r="AY77" s="645">
        <f t="shared" si="61"/>
        <v>0</v>
      </c>
      <c r="AZ77" s="645">
        <f t="shared" si="62"/>
        <v>0</v>
      </c>
      <c r="BA77" s="645">
        <v>1000</v>
      </c>
      <c r="BB77" s="657" t="e">
        <f>+Tabla2[[#This Row],[COSTO QUIMICA ]]/Tabla2[[#This Row],[VOLUMEN ENVIADO A RO (m3)]]</f>
        <v>#DIV/0!</v>
      </c>
    </row>
    <row r="78" spans="1:54" x14ac:dyDescent="0.25">
      <c r="A78" s="646">
        <f>+A77</f>
        <v>46138</v>
      </c>
      <c r="B78" s="610">
        <f>DAY(Tabla2[[#This Row],[FECHA]])</f>
        <v>26</v>
      </c>
      <c r="C78" s="628" t="s">
        <v>29</v>
      </c>
      <c r="D78" s="114"/>
      <c r="E78" s="114"/>
      <c r="F78" s="114"/>
      <c r="G78" s="114"/>
      <c r="H78" s="114"/>
      <c r="I78" s="625" t="e">
        <f>Tabla2[[#This Row],[VOLUMEN ENVIADO A RO (m3)]]/Tabla2[[#This Row],[Q DE OPERACIÓN (m3/h)]]</f>
        <v>#DIV/0!</v>
      </c>
      <c r="J78" s="123">
        <v>0</v>
      </c>
      <c r="K78" s="183"/>
      <c r="L78" s="183">
        <v>0</v>
      </c>
      <c r="M78" s="183">
        <v>0</v>
      </c>
      <c r="N78" s="183">
        <v>0</v>
      </c>
      <c r="O78" s="183">
        <v>0</v>
      </c>
      <c r="P78" s="183">
        <v>0</v>
      </c>
      <c r="Q78" s="123">
        <f t="shared" si="47"/>
        <v>0</v>
      </c>
      <c r="R78" s="123">
        <f t="shared" si="48"/>
        <v>0</v>
      </c>
      <c r="S78" s="123">
        <f t="shared" si="49"/>
        <v>0</v>
      </c>
      <c r="T78" s="123">
        <f t="shared" si="50"/>
        <v>0</v>
      </c>
      <c r="U78" s="123">
        <f t="shared" si="51"/>
        <v>0</v>
      </c>
      <c r="V78" s="123">
        <f t="shared" si="63"/>
        <v>0</v>
      </c>
      <c r="W78" s="123">
        <f t="shared" si="64"/>
        <v>0</v>
      </c>
      <c r="X78" s="123">
        <f t="shared" si="65"/>
        <v>0</v>
      </c>
      <c r="Y78" s="123">
        <f t="shared" si="66"/>
        <v>0</v>
      </c>
      <c r="Z78" s="123">
        <f t="shared" si="67"/>
        <v>0</v>
      </c>
      <c r="AA78" s="626">
        <v>1.18</v>
      </c>
      <c r="AB78" s="626">
        <v>1.28</v>
      </c>
      <c r="AC78" s="626">
        <v>1.2</v>
      </c>
      <c r="AD78" s="626">
        <v>1.53</v>
      </c>
      <c r="AE78" s="626">
        <v>1.2</v>
      </c>
      <c r="AF78" s="123">
        <f t="shared" si="68"/>
        <v>0</v>
      </c>
      <c r="AG78" s="123">
        <f t="shared" si="69"/>
        <v>0</v>
      </c>
      <c r="AH78" s="123">
        <f t="shared" si="70"/>
        <v>0</v>
      </c>
      <c r="AI78" s="123">
        <f t="shared" si="71"/>
        <v>0</v>
      </c>
      <c r="AJ78" s="123">
        <f t="shared" si="72"/>
        <v>0</v>
      </c>
      <c r="AK78" s="615" t="e">
        <f t="shared" si="52"/>
        <v>#DIV/0!</v>
      </c>
      <c r="AL78" s="615" t="e">
        <f t="shared" si="53"/>
        <v>#DIV/0!</v>
      </c>
      <c r="AM78" s="615" t="e">
        <f t="shared" si="54"/>
        <v>#DIV/0!</v>
      </c>
      <c r="AN78" s="615" t="e">
        <f t="shared" si="55"/>
        <v>#DIV/0!</v>
      </c>
      <c r="AO78" s="615" t="e">
        <f t="shared" si="56"/>
        <v>#DIV/0!</v>
      </c>
      <c r="AP78" s="627">
        <f t="shared" si="73"/>
        <v>1650</v>
      </c>
      <c r="AQ78" s="627">
        <f t="shared" si="73"/>
        <v>19160</v>
      </c>
      <c r="AR78" s="627">
        <f t="shared" si="73"/>
        <v>36239</v>
      </c>
      <c r="AS78" s="627">
        <f t="shared" si="73"/>
        <v>1298</v>
      </c>
      <c r="AT78" s="627">
        <f t="shared" si="73"/>
        <v>4200</v>
      </c>
      <c r="AU78" s="627">
        <f t="shared" si="57"/>
        <v>0</v>
      </c>
      <c r="AV78" s="627">
        <f t="shared" si="58"/>
        <v>0</v>
      </c>
      <c r="AW78" s="627">
        <f t="shared" si="59"/>
        <v>0</v>
      </c>
      <c r="AX78" s="627">
        <f t="shared" si="60"/>
        <v>0</v>
      </c>
      <c r="AY78" s="627">
        <f t="shared" si="61"/>
        <v>0</v>
      </c>
      <c r="AZ78" s="627">
        <f t="shared" si="62"/>
        <v>0</v>
      </c>
      <c r="BA78" s="627">
        <v>1000</v>
      </c>
      <c r="BB78" s="658" t="e">
        <f>+Tabla2[[#This Row],[COSTO QUIMICA ]]/Tabla2[[#This Row],[VOLUMEN ENVIADO A RO (m3)]]</f>
        <v>#DIV/0!</v>
      </c>
    </row>
    <row r="79" spans="1:54" ht="15.75" thickBot="1" x14ac:dyDescent="0.3">
      <c r="A79" s="647">
        <f>+A78</f>
        <v>46138</v>
      </c>
      <c r="B79" s="648">
        <f>DAY(Tabla2[[#This Row],[FECHA]])</f>
        <v>26</v>
      </c>
      <c r="C79" s="649" t="s">
        <v>30</v>
      </c>
      <c r="D79" s="115"/>
      <c r="E79" s="115"/>
      <c r="F79" s="115"/>
      <c r="G79" s="115"/>
      <c r="H79" s="115"/>
      <c r="I79" s="650" t="e">
        <f>Tabla2[[#This Row],[VOLUMEN ENVIADO A RO (m3)]]/Tabla2[[#This Row],[Q DE OPERACIÓN (m3/h)]]</f>
        <v>#DIV/0!</v>
      </c>
      <c r="J79" s="124">
        <v>125.733</v>
      </c>
      <c r="K79" s="184"/>
      <c r="L79" s="184">
        <v>0</v>
      </c>
      <c r="M79" s="184">
        <v>0</v>
      </c>
      <c r="N79" s="184">
        <v>0</v>
      </c>
      <c r="O79" s="184">
        <v>0</v>
      </c>
      <c r="P79" s="184">
        <v>0</v>
      </c>
      <c r="Q79" s="124">
        <f t="shared" si="47"/>
        <v>0</v>
      </c>
      <c r="R79" s="124">
        <f t="shared" si="48"/>
        <v>0</v>
      </c>
      <c r="S79" s="124">
        <f t="shared" si="49"/>
        <v>0</v>
      </c>
      <c r="T79" s="124">
        <f t="shared" si="50"/>
        <v>0</v>
      </c>
      <c r="U79" s="124">
        <f t="shared" si="51"/>
        <v>0</v>
      </c>
      <c r="V79" s="124">
        <f t="shared" si="63"/>
        <v>0</v>
      </c>
      <c r="W79" s="124">
        <f t="shared" si="64"/>
        <v>0</v>
      </c>
      <c r="X79" s="124">
        <f t="shared" si="65"/>
        <v>0</v>
      </c>
      <c r="Y79" s="124">
        <f t="shared" si="66"/>
        <v>0</v>
      </c>
      <c r="Z79" s="124">
        <f t="shared" si="67"/>
        <v>0</v>
      </c>
      <c r="AA79" s="651">
        <v>1.18</v>
      </c>
      <c r="AB79" s="651">
        <v>1.28</v>
      </c>
      <c r="AC79" s="651">
        <v>1.2</v>
      </c>
      <c r="AD79" s="651">
        <v>1.53</v>
      </c>
      <c r="AE79" s="651">
        <v>1.2</v>
      </c>
      <c r="AF79" s="124">
        <f t="shared" si="68"/>
        <v>0</v>
      </c>
      <c r="AG79" s="124">
        <f t="shared" si="69"/>
        <v>0</v>
      </c>
      <c r="AH79" s="124">
        <f t="shared" si="70"/>
        <v>0</v>
      </c>
      <c r="AI79" s="124">
        <f t="shared" si="71"/>
        <v>0</v>
      </c>
      <c r="AJ79" s="124">
        <f t="shared" si="72"/>
        <v>0</v>
      </c>
      <c r="AK79" s="652">
        <f t="shared" si="52"/>
        <v>0</v>
      </c>
      <c r="AL79" s="652">
        <f t="shared" si="53"/>
        <v>0</v>
      </c>
      <c r="AM79" s="652">
        <f t="shared" si="54"/>
        <v>0</v>
      </c>
      <c r="AN79" s="652">
        <f t="shared" si="55"/>
        <v>0</v>
      </c>
      <c r="AO79" s="652">
        <f t="shared" si="56"/>
        <v>0</v>
      </c>
      <c r="AP79" s="653">
        <f t="shared" si="73"/>
        <v>1650</v>
      </c>
      <c r="AQ79" s="653">
        <f t="shared" si="73"/>
        <v>19160</v>
      </c>
      <c r="AR79" s="653">
        <f t="shared" si="73"/>
        <v>36239</v>
      </c>
      <c r="AS79" s="653">
        <f t="shared" si="73"/>
        <v>1298</v>
      </c>
      <c r="AT79" s="653">
        <f t="shared" si="73"/>
        <v>4200</v>
      </c>
      <c r="AU79" s="653">
        <f t="shared" si="57"/>
        <v>0</v>
      </c>
      <c r="AV79" s="653">
        <f t="shared" si="58"/>
        <v>0</v>
      </c>
      <c r="AW79" s="653">
        <f t="shared" si="59"/>
        <v>0</v>
      </c>
      <c r="AX79" s="653">
        <f t="shared" si="60"/>
        <v>0</v>
      </c>
      <c r="AY79" s="653">
        <f t="shared" si="61"/>
        <v>13201.965000000002</v>
      </c>
      <c r="AZ79" s="653">
        <f t="shared" si="62"/>
        <v>13201.965000000002</v>
      </c>
      <c r="BA79" s="653">
        <v>1000</v>
      </c>
      <c r="BB79" s="659">
        <f>+Tabla2[[#This Row],[COSTO QUIMICA ]]/Tabla2[[#This Row],[VOLUMEN ENVIADO A RO (m3)]]</f>
        <v>105.00000000000001</v>
      </c>
    </row>
    <row r="80" spans="1:54" x14ac:dyDescent="0.25">
      <c r="A80" s="640">
        <f>+A79+1</f>
        <v>46139</v>
      </c>
      <c r="B80" s="641">
        <f>DAY(Tabla2[[#This Row],[FECHA]])</f>
        <v>27</v>
      </c>
      <c r="C80" s="642" t="s">
        <v>28</v>
      </c>
      <c r="D80" s="117"/>
      <c r="E80" s="117"/>
      <c r="F80" s="117"/>
      <c r="G80" s="117"/>
      <c r="H80" s="117"/>
      <c r="I80" s="643" t="e">
        <f>Tabla2[[#This Row],[VOLUMEN ENVIADO A RO (m3)]]/Tabla2[[#This Row],[Q DE OPERACIÓN (m3/h)]]</f>
        <v>#DIV/0!</v>
      </c>
      <c r="J80" s="125">
        <v>317.26299999999998</v>
      </c>
      <c r="K80" s="182"/>
      <c r="L80" s="182">
        <v>0</v>
      </c>
      <c r="M80" s="182">
        <v>0</v>
      </c>
      <c r="N80" s="182">
        <v>0</v>
      </c>
      <c r="O80" s="182">
        <v>0</v>
      </c>
      <c r="P80" s="182">
        <v>0</v>
      </c>
      <c r="Q80" s="125">
        <f t="shared" si="47"/>
        <v>0</v>
      </c>
      <c r="R80" s="125">
        <f t="shared" si="48"/>
        <v>0</v>
      </c>
      <c r="S80" s="125">
        <f t="shared" si="49"/>
        <v>0</v>
      </c>
      <c r="T80" s="125">
        <f t="shared" si="50"/>
        <v>0</v>
      </c>
      <c r="U80" s="125">
        <f t="shared" si="51"/>
        <v>0</v>
      </c>
      <c r="V80" s="125">
        <f t="shared" si="63"/>
        <v>0</v>
      </c>
      <c r="W80" s="125">
        <f t="shared" si="64"/>
        <v>0</v>
      </c>
      <c r="X80" s="125">
        <f t="shared" si="65"/>
        <v>0</v>
      </c>
      <c r="Y80" s="125">
        <f t="shared" si="66"/>
        <v>0</v>
      </c>
      <c r="Z80" s="125">
        <f t="shared" si="67"/>
        <v>0</v>
      </c>
      <c r="AA80" s="644">
        <v>1.18</v>
      </c>
      <c r="AB80" s="644">
        <v>1.28</v>
      </c>
      <c r="AC80" s="644">
        <v>1.2</v>
      </c>
      <c r="AD80" s="644">
        <v>1.53</v>
      </c>
      <c r="AE80" s="644">
        <v>1.2</v>
      </c>
      <c r="AF80" s="125">
        <f t="shared" si="68"/>
        <v>0</v>
      </c>
      <c r="AG80" s="125">
        <f t="shared" si="69"/>
        <v>0</v>
      </c>
      <c r="AH80" s="125">
        <f t="shared" si="70"/>
        <v>0</v>
      </c>
      <c r="AI80" s="125">
        <f t="shared" si="71"/>
        <v>0</v>
      </c>
      <c r="AJ80" s="125">
        <f t="shared" si="72"/>
        <v>0</v>
      </c>
      <c r="AK80" s="617">
        <f t="shared" si="52"/>
        <v>0</v>
      </c>
      <c r="AL80" s="617">
        <f t="shared" si="53"/>
        <v>0</v>
      </c>
      <c r="AM80" s="617">
        <f t="shared" si="54"/>
        <v>0</v>
      </c>
      <c r="AN80" s="617">
        <f t="shared" si="55"/>
        <v>0</v>
      </c>
      <c r="AO80" s="617">
        <f t="shared" si="56"/>
        <v>0</v>
      </c>
      <c r="AP80" s="645">
        <f t="shared" si="73"/>
        <v>1650</v>
      </c>
      <c r="AQ80" s="645">
        <f t="shared" si="73"/>
        <v>19160</v>
      </c>
      <c r="AR80" s="645">
        <f t="shared" si="73"/>
        <v>36239</v>
      </c>
      <c r="AS80" s="645">
        <f t="shared" si="73"/>
        <v>1298</v>
      </c>
      <c r="AT80" s="645">
        <f t="shared" si="73"/>
        <v>4200</v>
      </c>
      <c r="AU80" s="645">
        <f t="shared" si="57"/>
        <v>0</v>
      </c>
      <c r="AV80" s="645">
        <f t="shared" si="58"/>
        <v>0</v>
      </c>
      <c r="AW80" s="645">
        <f t="shared" si="59"/>
        <v>0</v>
      </c>
      <c r="AX80" s="645">
        <f t="shared" si="60"/>
        <v>0</v>
      </c>
      <c r="AY80" s="645">
        <f t="shared" si="61"/>
        <v>33312.614999999998</v>
      </c>
      <c r="AZ80" s="645">
        <f t="shared" si="62"/>
        <v>33312.614999999998</v>
      </c>
      <c r="BA80" s="645">
        <v>1000</v>
      </c>
      <c r="BB80" s="657">
        <f>+Tabla2[[#This Row],[COSTO QUIMICA ]]/Tabla2[[#This Row],[VOLUMEN ENVIADO A RO (m3)]]</f>
        <v>105</v>
      </c>
    </row>
    <row r="81" spans="1:54" x14ac:dyDescent="0.25">
      <c r="A81" s="646">
        <f>+A80</f>
        <v>46139</v>
      </c>
      <c r="B81" s="610">
        <f>DAY(Tabla2[[#This Row],[FECHA]])</f>
        <v>27</v>
      </c>
      <c r="C81" s="628" t="s">
        <v>29</v>
      </c>
      <c r="D81" s="114"/>
      <c r="E81" s="114"/>
      <c r="F81" s="114"/>
      <c r="G81" s="114"/>
      <c r="H81" s="114"/>
      <c r="I81" s="625" t="e">
        <f>Tabla2[[#This Row],[VOLUMEN ENVIADO A RO (m3)]]/Tabla2[[#This Row],[Q DE OPERACIÓN (m3/h)]]</f>
        <v>#DIV/0!</v>
      </c>
      <c r="J81" s="123">
        <v>318.51100000000002</v>
      </c>
      <c r="K81" s="183"/>
      <c r="L81" s="183">
        <v>0</v>
      </c>
      <c r="M81" s="183">
        <v>0</v>
      </c>
      <c r="N81" s="183">
        <v>0</v>
      </c>
      <c r="O81" s="183">
        <v>0</v>
      </c>
      <c r="P81" s="183">
        <v>0</v>
      </c>
      <c r="Q81" s="123">
        <f t="shared" si="47"/>
        <v>0</v>
      </c>
      <c r="R81" s="123">
        <f t="shared" si="48"/>
        <v>0</v>
      </c>
      <c r="S81" s="123">
        <f t="shared" si="49"/>
        <v>0</v>
      </c>
      <c r="T81" s="123">
        <f t="shared" si="50"/>
        <v>0</v>
      </c>
      <c r="U81" s="123">
        <f t="shared" si="51"/>
        <v>0</v>
      </c>
      <c r="V81" s="123">
        <f t="shared" si="63"/>
        <v>0</v>
      </c>
      <c r="W81" s="123">
        <f t="shared" si="64"/>
        <v>0</v>
      </c>
      <c r="X81" s="123">
        <f t="shared" si="65"/>
        <v>0</v>
      </c>
      <c r="Y81" s="123">
        <f t="shared" si="66"/>
        <v>0</v>
      </c>
      <c r="Z81" s="123">
        <f t="shared" si="67"/>
        <v>0</v>
      </c>
      <c r="AA81" s="626">
        <v>1.18</v>
      </c>
      <c r="AB81" s="626">
        <v>1.28</v>
      </c>
      <c r="AC81" s="626">
        <v>1.2</v>
      </c>
      <c r="AD81" s="626">
        <v>1.53</v>
      </c>
      <c r="AE81" s="626">
        <v>1.2</v>
      </c>
      <c r="AF81" s="123">
        <f t="shared" si="68"/>
        <v>0</v>
      </c>
      <c r="AG81" s="123">
        <f t="shared" si="69"/>
        <v>0</v>
      </c>
      <c r="AH81" s="123">
        <f t="shared" si="70"/>
        <v>0</v>
      </c>
      <c r="AI81" s="123">
        <f t="shared" si="71"/>
        <v>0</v>
      </c>
      <c r="AJ81" s="123">
        <f t="shared" si="72"/>
        <v>0</v>
      </c>
      <c r="AK81" s="615">
        <f t="shared" si="52"/>
        <v>0</v>
      </c>
      <c r="AL81" s="615">
        <f t="shared" si="53"/>
        <v>0</v>
      </c>
      <c r="AM81" s="615">
        <f t="shared" si="54"/>
        <v>0</v>
      </c>
      <c r="AN81" s="615">
        <f t="shared" si="55"/>
        <v>0</v>
      </c>
      <c r="AO81" s="615">
        <f t="shared" si="56"/>
        <v>0</v>
      </c>
      <c r="AP81" s="627">
        <f t="shared" si="73"/>
        <v>1650</v>
      </c>
      <c r="AQ81" s="627">
        <f t="shared" si="73"/>
        <v>19160</v>
      </c>
      <c r="AR81" s="627">
        <f t="shared" si="73"/>
        <v>36239</v>
      </c>
      <c r="AS81" s="627">
        <f t="shared" si="73"/>
        <v>1298</v>
      </c>
      <c r="AT81" s="627">
        <f t="shared" si="73"/>
        <v>4200</v>
      </c>
      <c r="AU81" s="627">
        <f t="shared" si="57"/>
        <v>0</v>
      </c>
      <c r="AV81" s="627">
        <f t="shared" si="58"/>
        <v>0</v>
      </c>
      <c r="AW81" s="627">
        <f t="shared" si="59"/>
        <v>0</v>
      </c>
      <c r="AX81" s="627">
        <f t="shared" si="60"/>
        <v>0</v>
      </c>
      <c r="AY81" s="627">
        <f t="shared" si="61"/>
        <v>33443.655000000006</v>
      </c>
      <c r="AZ81" s="627">
        <f t="shared" si="62"/>
        <v>33443.655000000006</v>
      </c>
      <c r="BA81" s="627">
        <v>1000</v>
      </c>
      <c r="BB81" s="658">
        <f>+Tabla2[[#This Row],[COSTO QUIMICA ]]/Tabla2[[#This Row],[VOLUMEN ENVIADO A RO (m3)]]</f>
        <v>105.00000000000001</v>
      </c>
    </row>
    <row r="82" spans="1:54" ht="15.75" thickBot="1" x14ac:dyDescent="0.3">
      <c r="A82" s="647">
        <f>+A81</f>
        <v>46139</v>
      </c>
      <c r="B82" s="648">
        <f>DAY(Tabla2[[#This Row],[FECHA]])</f>
        <v>27</v>
      </c>
      <c r="C82" s="649" t="s">
        <v>30</v>
      </c>
      <c r="D82" s="115"/>
      <c r="E82" s="115"/>
      <c r="F82" s="115"/>
      <c r="G82" s="115"/>
      <c r="H82" s="115"/>
      <c r="I82" s="650" t="e">
        <f>Tabla2[[#This Row],[VOLUMEN ENVIADO A RO (m3)]]/Tabla2[[#This Row],[Q DE OPERACIÓN (m3/h)]]</f>
        <v>#DIV/0!</v>
      </c>
      <c r="J82" s="124">
        <v>305.17099999999999</v>
      </c>
      <c r="K82" s="184"/>
      <c r="L82" s="184">
        <v>0</v>
      </c>
      <c r="M82" s="184">
        <v>0</v>
      </c>
      <c r="N82" s="184">
        <v>0</v>
      </c>
      <c r="O82" s="184">
        <v>0</v>
      </c>
      <c r="P82" s="184">
        <v>0</v>
      </c>
      <c r="Q82" s="124">
        <f t="shared" si="47"/>
        <v>0</v>
      </c>
      <c r="R82" s="124">
        <f t="shared" si="48"/>
        <v>0</v>
      </c>
      <c r="S82" s="124">
        <f t="shared" si="49"/>
        <v>0</v>
      </c>
      <c r="T82" s="124">
        <f t="shared" si="50"/>
        <v>0</v>
      </c>
      <c r="U82" s="124">
        <f t="shared" si="51"/>
        <v>0</v>
      </c>
      <c r="V82" s="124">
        <f t="shared" si="63"/>
        <v>0</v>
      </c>
      <c r="W82" s="124">
        <f t="shared" si="64"/>
        <v>0</v>
      </c>
      <c r="X82" s="124">
        <f t="shared" si="65"/>
        <v>0</v>
      </c>
      <c r="Y82" s="124">
        <f t="shared" si="66"/>
        <v>0</v>
      </c>
      <c r="Z82" s="124">
        <f t="shared" si="67"/>
        <v>0</v>
      </c>
      <c r="AA82" s="651">
        <v>1.18</v>
      </c>
      <c r="AB82" s="651">
        <v>1.28</v>
      </c>
      <c r="AC82" s="651">
        <v>1.2</v>
      </c>
      <c r="AD82" s="651">
        <v>1.53</v>
      </c>
      <c r="AE82" s="651">
        <v>1.2</v>
      </c>
      <c r="AF82" s="124">
        <f t="shared" si="68"/>
        <v>0</v>
      </c>
      <c r="AG82" s="124">
        <f t="shared" si="69"/>
        <v>0</v>
      </c>
      <c r="AH82" s="124">
        <f t="shared" si="70"/>
        <v>0</v>
      </c>
      <c r="AI82" s="124">
        <f t="shared" si="71"/>
        <v>0</v>
      </c>
      <c r="AJ82" s="124">
        <f t="shared" si="72"/>
        <v>0</v>
      </c>
      <c r="AK82" s="652">
        <f t="shared" si="52"/>
        <v>0</v>
      </c>
      <c r="AL82" s="652">
        <f t="shared" si="53"/>
        <v>0</v>
      </c>
      <c r="AM82" s="652">
        <f t="shared" si="54"/>
        <v>0</v>
      </c>
      <c r="AN82" s="652">
        <f t="shared" si="55"/>
        <v>0</v>
      </c>
      <c r="AO82" s="652">
        <f t="shared" si="56"/>
        <v>0</v>
      </c>
      <c r="AP82" s="653">
        <f t="shared" si="73"/>
        <v>1650</v>
      </c>
      <c r="AQ82" s="653">
        <f t="shared" si="73"/>
        <v>19160</v>
      </c>
      <c r="AR82" s="653">
        <f t="shared" si="73"/>
        <v>36239</v>
      </c>
      <c r="AS82" s="653">
        <f t="shared" si="73"/>
        <v>1298</v>
      </c>
      <c r="AT82" s="653">
        <f t="shared" si="73"/>
        <v>4200</v>
      </c>
      <c r="AU82" s="653">
        <f t="shared" si="57"/>
        <v>0</v>
      </c>
      <c r="AV82" s="653">
        <f t="shared" si="58"/>
        <v>0</v>
      </c>
      <c r="AW82" s="653">
        <f t="shared" si="59"/>
        <v>0</v>
      </c>
      <c r="AX82" s="653">
        <f t="shared" si="60"/>
        <v>0</v>
      </c>
      <c r="AY82" s="653">
        <f t="shared" si="61"/>
        <v>32042.954999999998</v>
      </c>
      <c r="AZ82" s="653">
        <f t="shared" si="62"/>
        <v>32042.954999999998</v>
      </c>
      <c r="BA82" s="653">
        <v>1000</v>
      </c>
      <c r="BB82" s="659">
        <f>+Tabla2[[#This Row],[COSTO QUIMICA ]]/Tabla2[[#This Row],[VOLUMEN ENVIADO A RO (m3)]]</f>
        <v>105</v>
      </c>
    </row>
    <row r="83" spans="1:54" x14ac:dyDescent="0.25">
      <c r="A83" s="640">
        <f>+A82+1</f>
        <v>46140</v>
      </c>
      <c r="B83" s="641">
        <f>DAY(Tabla2[[#This Row],[FECHA]])</f>
        <v>28</v>
      </c>
      <c r="C83" s="642" t="s">
        <v>28</v>
      </c>
      <c r="D83" s="117"/>
      <c r="E83" s="117"/>
      <c r="F83" s="117"/>
      <c r="G83" s="117"/>
      <c r="H83" s="117"/>
      <c r="I83" s="643" t="e">
        <f>Tabla2[[#This Row],[VOLUMEN ENVIADO A RO (m3)]]/Tabla2[[#This Row],[Q DE OPERACIÓN (m3/h)]]</f>
        <v>#DIV/0!</v>
      </c>
      <c r="J83" s="125">
        <v>293.09800000000001</v>
      </c>
      <c r="K83" s="182"/>
      <c r="L83" s="182">
        <v>0</v>
      </c>
      <c r="M83" s="182">
        <v>0</v>
      </c>
      <c r="N83" s="182">
        <v>0</v>
      </c>
      <c r="O83" s="182">
        <v>0</v>
      </c>
      <c r="P83" s="182">
        <v>0</v>
      </c>
      <c r="Q83" s="125">
        <f t="shared" si="47"/>
        <v>0</v>
      </c>
      <c r="R83" s="125">
        <f t="shared" si="48"/>
        <v>0</v>
      </c>
      <c r="S83" s="125">
        <f t="shared" si="49"/>
        <v>0</v>
      </c>
      <c r="T83" s="125">
        <f t="shared" si="50"/>
        <v>0</v>
      </c>
      <c r="U83" s="125">
        <f t="shared" si="51"/>
        <v>0</v>
      </c>
      <c r="V83" s="125">
        <f t="shared" si="63"/>
        <v>0</v>
      </c>
      <c r="W83" s="125">
        <f t="shared" si="64"/>
        <v>0</v>
      </c>
      <c r="X83" s="125">
        <f t="shared" si="65"/>
        <v>0</v>
      </c>
      <c r="Y83" s="125">
        <f t="shared" si="66"/>
        <v>0</v>
      </c>
      <c r="Z83" s="125">
        <f t="shared" si="67"/>
        <v>0</v>
      </c>
      <c r="AA83" s="644">
        <v>1.18</v>
      </c>
      <c r="AB83" s="644">
        <v>1.28</v>
      </c>
      <c r="AC83" s="644">
        <v>1.2</v>
      </c>
      <c r="AD83" s="644">
        <v>1.53</v>
      </c>
      <c r="AE83" s="644">
        <v>1.2</v>
      </c>
      <c r="AF83" s="125">
        <f t="shared" si="68"/>
        <v>0</v>
      </c>
      <c r="AG83" s="125">
        <f t="shared" si="69"/>
        <v>0</v>
      </c>
      <c r="AH83" s="125">
        <f t="shared" si="70"/>
        <v>0</v>
      </c>
      <c r="AI83" s="125">
        <f t="shared" si="71"/>
        <v>0</v>
      </c>
      <c r="AJ83" s="125">
        <f t="shared" si="72"/>
        <v>0</v>
      </c>
      <c r="AK83" s="617">
        <f t="shared" si="52"/>
        <v>0</v>
      </c>
      <c r="AL83" s="617">
        <f t="shared" si="53"/>
        <v>0</v>
      </c>
      <c r="AM83" s="617">
        <f t="shared" si="54"/>
        <v>0</v>
      </c>
      <c r="AN83" s="617">
        <f t="shared" si="55"/>
        <v>0</v>
      </c>
      <c r="AO83" s="617">
        <f t="shared" si="56"/>
        <v>0</v>
      </c>
      <c r="AP83" s="645">
        <f t="shared" ref="AP83:AT95" si="74">AP82</f>
        <v>1650</v>
      </c>
      <c r="AQ83" s="645">
        <f t="shared" si="74"/>
        <v>19160</v>
      </c>
      <c r="AR83" s="645">
        <f t="shared" si="74"/>
        <v>36239</v>
      </c>
      <c r="AS83" s="645">
        <f t="shared" si="74"/>
        <v>1298</v>
      </c>
      <c r="AT83" s="645">
        <f t="shared" si="74"/>
        <v>4200</v>
      </c>
      <c r="AU83" s="645">
        <f t="shared" si="57"/>
        <v>0</v>
      </c>
      <c r="AV83" s="645">
        <f t="shared" si="58"/>
        <v>0</v>
      </c>
      <c r="AW83" s="645">
        <f t="shared" si="59"/>
        <v>0</v>
      </c>
      <c r="AX83" s="645">
        <f t="shared" si="60"/>
        <v>0</v>
      </c>
      <c r="AY83" s="645">
        <f t="shared" si="61"/>
        <v>30775.290000000005</v>
      </c>
      <c r="AZ83" s="645">
        <f t="shared" si="62"/>
        <v>30775.290000000005</v>
      </c>
      <c r="BA83" s="645">
        <v>1000</v>
      </c>
      <c r="BB83" s="657">
        <f>+Tabla2[[#This Row],[COSTO QUIMICA ]]/Tabla2[[#This Row],[VOLUMEN ENVIADO A RO (m3)]]</f>
        <v>105.00000000000001</v>
      </c>
    </row>
    <row r="84" spans="1:54" x14ac:dyDescent="0.25">
      <c r="A84" s="646">
        <f>+A83</f>
        <v>46140</v>
      </c>
      <c r="B84" s="610">
        <f>DAY(Tabla2[[#This Row],[FECHA]])</f>
        <v>28</v>
      </c>
      <c r="C84" s="628" t="s">
        <v>29</v>
      </c>
      <c r="D84" s="114"/>
      <c r="E84" s="114"/>
      <c r="F84" s="114"/>
      <c r="G84" s="114"/>
      <c r="H84" s="114"/>
      <c r="I84" s="625" t="e">
        <f>Tabla2[[#This Row],[VOLUMEN ENVIADO A RO (m3)]]/Tabla2[[#This Row],[Q DE OPERACIÓN (m3/h)]]</f>
        <v>#DIV/0!</v>
      </c>
      <c r="J84" s="123">
        <v>314.642</v>
      </c>
      <c r="K84" s="183"/>
      <c r="L84" s="183">
        <v>0</v>
      </c>
      <c r="M84" s="183">
        <v>0</v>
      </c>
      <c r="N84" s="183">
        <v>0</v>
      </c>
      <c r="O84" s="183">
        <v>0</v>
      </c>
      <c r="P84" s="183">
        <v>0</v>
      </c>
      <c r="Q84" s="123">
        <f t="shared" si="47"/>
        <v>0</v>
      </c>
      <c r="R84" s="123">
        <f t="shared" si="48"/>
        <v>0</v>
      </c>
      <c r="S84" s="123">
        <f t="shared" si="49"/>
        <v>0</v>
      </c>
      <c r="T84" s="123">
        <f t="shared" si="50"/>
        <v>0</v>
      </c>
      <c r="U84" s="123">
        <f t="shared" si="51"/>
        <v>0</v>
      </c>
      <c r="V84" s="123">
        <f t="shared" si="63"/>
        <v>0</v>
      </c>
      <c r="W84" s="123">
        <f t="shared" si="64"/>
        <v>0</v>
      </c>
      <c r="X84" s="123">
        <f t="shared" si="65"/>
        <v>0</v>
      </c>
      <c r="Y84" s="123">
        <f t="shared" si="66"/>
        <v>0</v>
      </c>
      <c r="Z84" s="123">
        <f t="shared" si="67"/>
        <v>0</v>
      </c>
      <c r="AA84" s="626">
        <v>1.18</v>
      </c>
      <c r="AB84" s="626">
        <v>1.28</v>
      </c>
      <c r="AC84" s="626">
        <v>1.2</v>
      </c>
      <c r="AD84" s="626">
        <v>1.53</v>
      </c>
      <c r="AE84" s="626">
        <v>1.2</v>
      </c>
      <c r="AF84" s="123">
        <f t="shared" si="68"/>
        <v>0</v>
      </c>
      <c r="AG84" s="123">
        <f t="shared" si="69"/>
        <v>0</v>
      </c>
      <c r="AH84" s="123">
        <f t="shared" si="70"/>
        <v>0</v>
      </c>
      <c r="AI84" s="123">
        <f t="shared" si="71"/>
        <v>0</v>
      </c>
      <c r="AJ84" s="123">
        <f t="shared" si="72"/>
        <v>0</v>
      </c>
      <c r="AK84" s="615">
        <f t="shared" si="52"/>
        <v>0</v>
      </c>
      <c r="AL84" s="615">
        <f t="shared" si="53"/>
        <v>0</v>
      </c>
      <c r="AM84" s="615">
        <f t="shared" si="54"/>
        <v>0</v>
      </c>
      <c r="AN84" s="615">
        <f t="shared" si="55"/>
        <v>0</v>
      </c>
      <c r="AO84" s="615">
        <f t="shared" si="56"/>
        <v>0</v>
      </c>
      <c r="AP84" s="627">
        <f t="shared" si="74"/>
        <v>1650</v>
      </c>
      <c r="AQ84" s="627">
        <f t="shared" si="74"/>
        <v>19160</v>
      </c>
      <c r="AR84" s="627">
        <f t="shared" si="74"/>
        <v>36239</v>
      </c>
      <c r="AS84" s="627">
        <f t="shared" si="74"/>
        <v>1298</v>
      </c>
      <c r="AT84" s="627">
        <f t="shared" si="74"/>
        <v>4200</v>
      </c>
      <c r="AU84" s="627">
        <f t="shared" si="57"/>
        <v>0</v>
      </c>
      <c r="AV84" s="627">
        <f t="shared" si="58"/>
        <v>0</v>
      </c>
      <c r="AW84" s="627">
        <f t="shared" si="59"/>
        <v>0</v>
      </c>
      <c r="AX84" s="627">
        <f t="shared" si="60"/>
        <v>0</v>
      </c>
      <c r="AY84" s="627">
        <f t="shared" si="61"/>
        <v>33037.410000000003</v>
      </c>
      <c r="AZ84" s="627">
        <f t="shared" si="62"/>
        <v>33037.410000000003</v>
      </c>
      <c r="BA84" s="627">
        <v>1000</v>
      </c>
      <c r="BB84" s="658">
        <f>+Tabla2[[#This Row],[COSTO QUIMICA ]]/Tabla2[[#This Row],[VOLUMEN ENVIADO A RO (m3)]]</f>
        <v>105.00000000000001</v>
      </c>
    </row>
    <row r="85" spans="1:54" ht="15.75" thickBot="1" x14ac:dyDescent="0.3">
      <c r="A85" s="647">
        <f>+A84</f>
        <v>46140</v>
      </c>
      <c r="B85" s="648">
        <f>DAY(Tabla2[[#This Row],[FECHA]])</f>
        <v>28</v>
      </c>
      <c r="C85" s="649" t="s">
        <v>30</v>
      </c>
      <c r="D85" s="115"/>
      <c r="E85" s="115"/>
      <c r="F85" s="115"/>
      <c r="G85" s="115"/>
      <c r="H85" s="115"/>
      <c r="I85" s="650" t="e">
        <f>Tabla2[[#This Row],[VOLUMEN ENVIADO A RO (m3)]]/Tabla2[[#This Row],[Q DE OPERACIÓN (m3/h)]]</f>
        <v>#DIV/0!</v>
      </c>
      <c r="J85" s="124">
        <v>332.59199999999998</v>
      </c>
      <c r="K85" s="184"/>
      <c r="L85" s="184">
        <v>0</v>
      </c>
      <c r="M85" s="184">
        <v>0</v>
      </c>
      <c r="N85" s="184">
        <v>0</v>
      </c>
      <c r="O85" s="184">
        <v>0</v>
      </c>
      <c r="P85" s="184">
        <v>0</v>
      </c>
      <c r="Q85" s="124">
        <f t="shared" si="47"/>
        <v>0</v>
      </c>
      <c r="R85" s="124">
        <f t="shared" si="48"/>
        <v>0</v>
      </c>
      <c r="S85" s="124">
        <f t="shared" si="49"/>
        <v>0</v>
      </c>
      <c r="T85" s="124">
        <f t="shared" si="50"/>
        <v>0</v>
      </c>
      <c r="U85" s="124">
        <f t="shared" si="51"/>
        <v>0</v>
      </c>
      <c r="V85" s="124">
        <f t="shared" si="63"/>
        <v>0</v>
      </c>
      <c r="W85" s="124">
        <f t="shared" si="64"/>
        <v>0</v>
      </c>
      <c r="X85" s="124">
        <f t="shared" si="65"/>
        <v>0</v>
      </c>
      <c r="Y85" s="124">
        <f t="shared" si="66"/>
        <v>0</v>
      </c>
      <c r="Z85" s="124">
        <f t="shared" si="67"/>
        <v>0</v>
      </c>
      <c r="AA85" s="651">
        <v>1.18</v>
      </c>
      <c r="AB85" s="651">
        <v>1.28</v>
      </c>
      <c r="AC85" s="651">
        <v>1.2</v>
      </c>
      <c r="AD85" s="651">
        <v>1.53</v>
      </c>
      <c r="AE85" s="651">
        <v>1.2</v>
      </c>
      <c r="AF85" s="124">
        <f t="shared" si="68"/>
        <v>0</v>
      </c>
      <c r="AG85" s="124">
        <f t="shared" si="69"/>
        <v>0</v>
      </c>
      <c r="AH85" s="124">
        <f t="shared" si="70"/>
        <v>0</v>
      </c>
      <c r="AI85" s="124">
        <f t="shared" si="71"/>
        <v>0</v>
      </c>
      <c r="AJ85" s="124">
        <f t="shared" si="72"/>
        <v>0</v>
      </c>
      <c r="AK85" s="652">
        <f t="shared" si="52"/>
        <v>0</v>
      </c>
      <c r="AL85" s="652">
        <f t="shared" si="53"/>
        <v>0</v>
      </c>
      <c r="AM85" s="652">
        <f t="shared" si="54"/>
        <v>0</v>
      </c>
      <c r="AN85" s="652">
        <f t="shared" si="55"/>
        <v>0</v>
      </c>
      <c r="AO85" s="652">
        <f t="shared" si="56"/>
        <v>0</v>
      </c>
      <c r="AP85" s="653">
        <f t="shared" si="74"/>
        <v>1650</v>
      </c>
      <c r="AQ85" s="653">
        <f t="shared" si="74"/>
        <v>19160</v>
      </c>
      <c r="AR85" s="653">
        <f t="shared" si="74"/>
        <v>36239</v>
      </c>
      <c r="AS85" s="653">
        <f t="shared" si="74"/>
        <v>1298</v>
      </c>
      <c r="AT85" s="653">
        <f t="shared" si="74"/>
        <v>4200</v>
      </c>
      <c r="AU85" s="653">
        <f t="shared" si="57"/>
        <v>0</v>
      </c>
      <c r="AV85" s="653">
        <f t="shared" si="58"/>
        <v>0</v>
      </c>
      <c r="AW85" s="653">
        <f t="shared" si="59"/>
        <v>0</v>
      </c>
      <c r="AX85" s="653">
        <f t="shared" si="60"/>
        <v>0</v>
      </c>
      <c r="AY85" s="653">
        <f t="shared" si="61"/>
        <v>34922.160000000003</v>
      </c>
      <c r="AZ85" s="653">
        <f t="shared" si="62"/>
        <v>34922.160000000003</v>
      </c>
      <c r="BA85" s="653">
        <v>1000</v>
      </c>
      <c r="BB85" s="659">
        <f>+Tabla2[[#This Row],[COSTO QUIMICA ]]/Tabla2[[#This Row],[VOLUMEN ENVIADO A RO (m3)]]</f>
        <v>105.00000000000001</v>
      </c>
    </row>
    <row r="86" spans="1:54" x14ac:dyDescent="0.25">
      <c r="A86" s="640">
        <f>+A85+1</f>
        <v>46141</v>
      </c>
      <c r="B86" s="641">
        <f>DAY(Tabla2[[#This Row],[FECHA]])</f>
        <v>29</v>
      </c>
      <c r="C86" s="642" t="s">
        <v>28</v>
      </c>
      <c r="D86" s="117"/>
      <c r="E86" s="117"/>
      <c r="F86" s="117"/>
      <c r="G86" s="117"/>
      <c r="H86" s="117"/>
      <c r="I86" s="643" t="e">
        <f>Tabla2[[#This Row],[VOLUMEN ENVIADO A RO (m3)]]/Tabla2[[#This Row],[Q DE OPERACIÓN (m3/h)]]</f>
        <v>#DIV/0!</v>
      </c>
      <c r="J86" s="125">
        <v>360.15100000000001</v>
      </c>
      <c r="K86" s="182"/>
      <c r="L86" s="182">
        <v>0</v>
      </c>
      <c r="M86" s="182">
        <v>0</v>
      </c>
      <c r="N86" s="182">
        <v>0</v>
      </c>
      <c r="O86" s="182">
        <v>0</v>
      </c>
      <c r="P86" s="182">
        <v>0</v>
      </c>
      <c r="Q86" s="125">
        <f t="shared" si="47"/>
        <v>0</v>
      </c>
      <c r="R86" s="125">
        <f t="shared" si="48"/>
        <v>0</v>
      </c>
      <c r="S86" s="125">
        <f t="shared" si="49"/>
        <v>0</v>
      </c>
      <c r="T86" s="125">
        <f t="shared" si="50"/>
        <v>0</v>
      </c>
      <c r="U86" s="125">
        <f t="shared" si="51"/>
        <v>0</v>
      </c>
      <c r="V86" s="125">
        <f t="shared" si="63"/>
        <v>0</v>
      </c>
      <c r="W86" s="125">
        <f t="shared" si="64"/>
        <v>0</v>
      </c>
      <c r="X86" s="125">
        <f t="shared" si="65"/>
        <v>0</v>
      </c>
      <c r="Y86" s="125">
        <f t="shared" si="66"/>
        <v>0</v>
      </c>
      <c r="Z86" s="125">
        <f t="shared" si="67"/>
        <v>0</v>
      </c>
      <c r="AA86" s="644">
        <v>1.18</v>
      </c>
      <c r="AB86" s="644">
        <v>1.28</v>
      </c>
      <c r="AC86" s="644">
        <v>1.2</v>
      </c>
      <c r="AD86" s="644">
        <v>1.53</v>
      </c>
      <c r="AE86" s="644">
        <v>1.2</v>
      </c>
      <c r="AF86" s="125">
        <f t="shared" si="68"/>
        <v>0</v>
      </c>
      <c r="AG86" s="125">
        <f t="shared" si="69"/>
        <v>0</v>
      </c>
      <c r="AH86" s="125">
        <f t="shared" si="70"/>
        <v>0</v>
      </c>
      <c r="AI86" s="125">
        <f t="shared" si="71"/>
        <v>0</v>
      </c>
      <c r="AJ86" s="125">
        <f t="shared" si="72"/>
        <v>0</v>
      </c>
      <c r="AK86" s="617">
        <f t="shared" si="52"/>
        <v>0</v>
      </c>
      <c r="AL86" s="617">
        <f t="shared" si="53"/>
        <v>0</v>
      </c>
      <c r="AM86" s="617">
        <f t="shared" si="54"/>
        <v>0</v>
      </c>
      <c r="AN86" s="617">
        <f t="shared" si="55"/>
        <v>0</v>
      </c>
      <c r="AO86" s="617">
        <f t="shared" si="56"/>
        <v>0</v>
      </c>
      <c r="AP86" s="645">
        <f t="shared" si="74"/>
        <v>1650</v>
      </c>
      <c r="AQ86" s="645">
        <f t="shared" si="74"/>
        <v>19160</v>
      </c>
      <c r="AR86" s="645">
        <f t="shared" si="74"/>
        <v>36239</v>
      </c>
      <c r="AS86" s="645">
        <f t="shared" si="74"/>
        <v>1298</v>
      </c>
      <c r="AT86" s="645">
        <f t="shared" si="74"/>
        <v>4200</v>
      </c>
      <c r="AU86" s="645">
        <f t="shared" si="57"/>
        <v>0</v>
      </c>
      <c r="AV86" s="645">
        <f t="shared" si="58"/>
        <v>0</v>
      </c>
      <c r="AW86" s="645">
        <f t="shared" si="59"/>
        <v>0</v>
      </c>
      <c r="AX86" s="645">
        <f t="shared" si="60"/>
        <v>0</v>
      </c>
      <c r="AY86" s="645">
        <f t="shared" si="61"/>
        <v>37815.855000000003</v>
      </c>
      <c r="AZ86" s="645">
        <f t="shared" si="62"/>
        <v>37815.855000000003</v>
      </c>
      <c r="BA86" s="645">
        <v>1000</v>
      </c>
      <c r="BB86" s="657">
        <f>+Tabla2[[#This Row],[COSTO QUIMICA ]]/Tabla2[[#This Row],[VOLUMEN ENVIADO A RO (m3)]]</f>
        <v>105</v>
      </c>
    </row>
    <row r="87" spans="1:54" x14ac:dyDescent="0.25">
      <c r="A87" s="646">
        <f>+A86</f>
        <v>46141</v>
      </c>
      <c r="B87" s="610">
        <f>DAY(Tabla2[[#This Row],[FECHA]])</f>
        <v>29</v>
      </c>
      <c r="C87" s="628" t="s">
        <v>29</v>
      </c>
      <c r="D87" s="114"/>
      <c r="E87" s="114"/>
      <c r="F87" s="114"/>
      <c r="G87" s="114"/>
      <c r="H87" s="114"/>
      <c r="I87" s="625" t="e">
        <f>Tabla2[[#This Row],[VOLUMEN ENVIADO A RO (m3)]]/Tabla2[[#This Row],[Q DE OPERACIÓN (m3/h)]]</f>
        <v>#DIV/0!</v>
      </c>
      <c r="J87" s="123">
        <v>364</v>
      </c>
      <c r="K87" s="183"/>
      <c r="L87" s="183">
        <v>0</v>
      </c>
      <c r="M87" s="183">
        <v>0</v>
      </c>
      <c r="N87" s="183">
        <v>0</v>
      </c>
      <c r="O87" s="183">
        <v>0</v>
      </c>
      <c r="P87" s="183">
        <v>0</v>
      </c>
      <c r="Q87" s="123">
        <f t="shared" si="47"/>
        <v>0</v>
      </c>
      <c r="R87" s="123">
        <f t="shared" si="48"/>
        <v>0</v>
      </c>
      <c r="S87" s="123">
        <f t="shared" si="49"/>
        <v>0</v>
      </c>
      <c r="T87" s="123">
        <f t="shared" si="50"/>
        <v>0</v>
      </c>
      <c r="U87" s="123">
        <f t="shared" si="51"/>
        <v>0</v>
      </c>
      <c r="V87" s="123">
        <f t="shared" si="63"/>
        <v>0</v>
      </c>
      <c r="W87" s="123">
        <f t="shared" si="64"/>
        <v>0</v>
      </c>
      <c r="X87" s="123">
        <f t="shared" si="65"/>
        <v>0</v>
      </c>
      <c r="Y87" s="123">
        <f t="shared" si="66"/>
        <v>0</v>
      </c>
      <c r="Z87" s="123">
        <f t="shared" si="67"/>
        <v>0</v>
      </c>
      <c r="AA87" s="626">
        <v>1.18</v>
      </c>
      <c r="AB87" s="626">
        <v>1.28</v>
      </c>
      <c r="AC87" s="626">
        <v>1.2</v>
      </c>
      <c r="AD87" s="626">
        <v>1.53</v>
      </c>
      <c r="AE87" s="626">
        <v>1.2</v>
      </c>
      <c r="AF87" s="123">
        <f t="shared" si="68"/>
        <v>0</v>
      </c>
      <c r="AG87" s="123">
        <f t="shared" si="69"/>
        <v>0</v>
      </c>
      <c r="AH87" s="123">
        <f t="shared" si="70"/>
        <v>0</v>
      </c>
      <c r="AI87" s="123">
        <f t="shared" si="71"/>
        <v>0</v>
      </c>
      <c r="AJ87" s="123">
        <f t="shared" si="72"/>
        <v>0</v>
      </c>
      <c r="AK87" s="615">
        <f t="shared" si="52"/>
        <v>0</v>
      </c>
      <c r="AL87" s="615">
        <f t="shared" si="53"/>
        <v>0</v>
      </c>
      <c r="AM87" s="615">
        <f t="shared" si="54"/>
        <v>0</v>
      </c>
      <c r="AN87" s="615">
        <f t="shared" si="55"/>
        <v>0</v>
      </c>
      <c r="AO87" s="615">
        <f t="shared" si="56"/>
        <v>0</v>
      </c>
      <c r="AP87" s="627">
        <f t="shared" si="74"/>
        <v>1650</v>
      </c>
      <c r="AQ87" s="627">
        <f t="shared" si="74"/>
        <v>19160</v>
      </c>
      <c r="AR87" s="627">
        <f t="shared" si="74"/>
        <v>36239</v>
      </c>
      <c r="AS87" s="627">
        <f t="shared" si="74"/>
        <v>1298</v>
      </c>
      <c r="AT87" s="627">
        <f t="shared" si="74"/>
        <v>4200</v>
      </c>
      <c r="AU87" s="627">
        <f t="shared" si="57"/>
        <v>0</v>
      </c>
      <c r="AV87" s="627">
        <f t="shared" si="58"/>
        <v>0</v>
      </c>
      <c r="AW87" s="627">
        <f t="shared" si="59"/>
        <v>0</v>
      </c>
      <c r="AX87" s="627">
        <f t="shared" si="60"/>
        <v>0</v>
      </c>
      <c r="AY87" s="627">
        <f t="shared" si="61"/>
        <v>38220</v>
      </c>
      <c r="AZ87" s="627">
        <f t="shared" si="62"/>
        <v>38220</v>
      </c>
      <c r="BA87" s="627">
        <v>1000</v>
      </c>
      <c r="BB87" s="658">
        <f>+Tabla2[[#This Row],[COSTO QUIMICA ]]/Tabla2[[#This Row],[VOLUMEN ENVIADO A RO (m3)]]</f>
        <v>105</v>
      </c>
    </row>
    <row r="88" spans="1:54" ht="15.75" thickBot="1" x14ac:dyDescent="0.3">
      <c r="A88" s="647">
        <f>+A87</f>
        <v>46141</v>
      </c>
      <c r="B88" s="648">
        <f>DAY(Tabla2[[#This Row],[FECHA]])</f>
        <v>29</v>
      </c>
      <c r="C88" s="649" t="s">
        <v>30</v>
      </c>
      <c r="D88" s="115"/>
      <c r="E88" s="115"/>
      <c r="F88" s="115"/>
      <c r="G88" s="115"/>
      <c r="H88" s="115"/>
      <c r="I88" s="650" t="e">
        <f>Tabla2[[#This Row],[VOLUMEN ENVIADO A RO (m3)]]/Tabla2[[#This Row],[Q DE OPERACIÓN (m3/h)]]</f>
        <v>#DIV/0!</v>
      </c>
      <c r="J88" s="124">
        <v>321.66500000000002</v>
      </c>
      <c r="K88" s="184"/>
      <c r="L88" s="184">
        <v>0</v>
      </c>
      <c r="M88" s="184">
        <v>0</v>
      </c>
      <c r="N88" s="184">
        <v>0</v>
      </c>
      <c r="O88" s="184">
        <v>0</v>
      </c>
      <c r="P88" s="184">
        <v>0</v>
      </c>
      <c r="Q88" s="124">
        <f t="shared" si="47"/>
        <v>0</v>
      </c>
      <c r="R88" s="124">
        <f t="shared" si="48"/>
        <v>0</v>
      </c>
      <c r="S88" s="124">
        <f t="shared" si="49"/>
        <v>0</v>
      </c>
      <c r="T88" s="124">
        <f t="shared" si="50"/>
        <v>0</v>
      </c>
      <c r="U88" s="124">
        <f t="shared" si="51"/>
        <v>0</v>
      </c>
      <c r="V88" s="124">
        <f t="shared" si="63"/>
        <v>0</v>
      </c>
      <c r="W88" s="124">
        <f t="shared" si="64"/>
        <v>0</v>
      </c>
      <c r="X88" s="124">
        <f t="shared" si="65"/>
        <v>0</v>
      </c>
      <c r="Y88" s="124">
        <f t="shared" si="66"/>
        <v>0</v>
      </c>
      <c r="Z88" s="124">
        <f t="shared" si="67"/>
        <v>0</v>
      </c>
      <c r="AA88" s="651">
        <v>1.18</v>
      </c>
      <c r="AB88" s="651">
        <v>1.28</v>
      </c>
      <c r="AC88" s="651">
        <v>1.2</v>
      </c>
      <c r="AD88" s="651">
        <v>1.53</v>
      </c>
      <c r="AE88" s="651">
        <v>1.2</v>
      </c>
      <c r="AF88" s="124">
        <f t="shared" si="68"/>
        <v>0</v>
      </c>
      <c r="AG88" s="124">
        <f t="shared" si="69"/>
        <v>0</v>
      </c>
      <c r="AH88" s="124">
        <f t="shared" si="70"/>
        <v>0</v>
      </c>
      <c r="AI88" s="124">
        <f t="shared" si="71"/>
        <v>0</v>
      </c>
      <c r="AJ88" s="124">
        <f t="shared" si="72"/>
        <v>0</v>
      </c>
      <c r="AK88" s="652">
        <f t="shared" si="52"/>
        <v>0</v>
      </c>
      <c r="AL88" s="652">
        <f t="shared" si="53"/>
        <v>0</v>
      </c>
      <c r="AM88" s="652">
        <f t="shared" si="54"/>
        <v>0</v>
      </c>
      <c r="AN88" s="652">
        <f t="shared" si="55"/>
        <v>0</v>
      </c>
      <c r="AO88" s="652">
        <f t="shared" si="56"/>
        <v>0</v>
      </c>
      <c r="AP88" s="653">
        <f t="shared" si="74"/>
        <v>1650</v>
      </c>
      <c r="AQ88" s="653">
        <f t="shared" si="74"/>
        <v>19160</v>
      </c>
      <c r="AR88" s="653">
        <f t="shared" si="74"/>
        <v>36239</v>
      </c>
      <c r="AS88" s="653">
        <f t="shared" si="74"/>
        <v>1298</v>
      </c>
      <c r="AT88" s="653">
        <f t="shared" si="74"/>
        <v>4200</v>
      </c>
      <c r="AU88" s="653">
        <f t="shared" si="57"/>
        <v>0</v>
      </c>
      <c r="AV88" s="653">
        <f t="shared" si="58"/>
        <v>0</v>
      </c>
      <c r="AW88" s="653">
        <f t="shared" si="59"/>
        <v>0</v>
      </c>
      <c r="AX88" s="653">
        <f t="shared" si="60"/>
        <v>0</v>
      </c>
      <c r="AY88" s="653">
        <f t="shared" si="61"/>
        <v>33774.825000000004</v>
      </c>
      <c r="AZ88" s="653">
        <f t="shared" si="62"/>
        <v>33774.825000000004</v>
      </c>
      <c r="BA88" s="653">
        <v>1000</v>
      </c>
      <c r="BB88" s="659">
        <f>+Tabla2[[#This Row],[COSTO QUIMICA ]]/Tabla2[[#This Row],[VOLUMEN ENVIADO A RO (m3)]]</f>
        <v>105</v>
      </c>
    </row>
    <row r="89" spans="1:54" x14ac:dyDescent="0.25">
      <c r="A89" s="640">
        <f>+A88+1</f>
        <v>46142</v>
      </c>
      <c r="B89" s="641">
        <f>DAY(Tabla2[[#This Row],[FECHA]])</f>
        <v>30</v>
      </c>
      <c r="C89" s="642" t="s">
        <v>28</v>
      </c>
      <c r="D89" s="117"/>
      <c r="E89" s="117"/>
      <c r="F89" s="117"/>
      <c r="G89" s="117"/>
      <c r="H89" s="117"/>
      <c r="I89" s="643" t="e">
        <f>Tabla2[[#This Row],[VOLUMEN ENVIADO A RO (m3)]]/Tabla2[[#This Row],[Q DE OPERACIÓN (m3/h)]]</f>
        <v>#DIV/0!</v>
      </c>
      <c r="J89" s="125">
        <v>297.66800000000001</v>
      </c>
      <c r="K89" s="182"/>
      <c r="L89" s="182">
        <v>0</v>
      </c>
      <c r="M89" s="182">
        <v>0</v>
      </c>
      <c r="N89" s="182">
        <v>0</v>
      </c>
      <c r="O89" s="182">
        <v>0</v>
      </c>
      <c r="P89" s="182">
        <v>0</v>
      </c>
      <c r="Q89" s="125">
        <f t="shared" si="47"/>
        <v>0</v>
      </c>
      <c r="R89" s="125">
        <f t="shared" si="48"/>
        <v>0</v>
      </c>
      <c r="S89" s="125">
        <f t="shared" si="49"/>
        <v>0</v>
      </c>
      <c r="T89" s="125">
        <f t="shared" si="50"/>
        <v>0</v>
      </c>
      <c r="U89" s="125">
        <f t="shared" si="51"/>
        <v>0</v>
      </c>
      <c r="V89" s="125">
        <f t="shared" si="63"/>
        <v>0</v>
      </c>
      <c r="W89" s="125">
        <f t="shared" si="64"/>
        <v>0</v>
      </c>
      <c r="X89" s="125">
        <f t="shared" si="65"/>
        <v>0</v>
      </c>
      <c r="Y89" s="125">
        <f t="shared" si="66"/>
        <v>0</v>
      </c>
      <c r="Z89" s="125">
        <f t="shared" si="67"/>
        <v>0</v>
      </c>
      <c r="AA89" s="644">
        <v>1.18</v>
      </c>
      <c r="AB89" s="644">
        <v>1.28</v>
      </c>
      <c r="AC89" s="644">
        <v>1.2</v>
      </c>
      <c r="AD89" s="644">
        <v>1.53</v>
      </c>
      <c r="AE89" s="644">
        <v>1.2</v>
      </c>
      <c r="AF89" s="125">
        <f t="shared" si="68"/>
        <v>0</v>
      </c>
      <c r="AG89" s="125">
        <f t="shared" si="69"/>
        <v>0</v>
      </c>
      <c r="AH89" s="125">
        <f t="shared" si="70"/>
        <v>0</v>
      </c>
      <c r="AI89" s="125">
        <f t="shared" si="71"/>
        <v>0</v>
      </c>
      <c r="AJ89" s="125">
        <f t="shared" si="72"/>
        <v>0</v>
      </c>
      <c r="AK89" s="617">
        <f t="shared" si="52"/>
        <v>0</v>
      </c>
      <c r="AL89" s="617">
        <f t="shared" si="53"/>
        <v>0</v>
      </c>
      <c r="AM89" s="617">
        <f t="shared" si="54"/>
        <v>0</v>
      </c>
      <c r="AN89" s="617">
        <f t="shared" si="55"/>
        <v>0</v>
      </c>
      <c r="AO89" s="617">
        <f t="shared" si="56"/>
        <v>0</v>
      </c>
      <c r="AP89" s="645">
        <f t="shared" si="74"/>
        <v>1650</v>
      </c>
      <c r="AQ89" s="645">
        <f t="shared" si="74"/>
        <v>19160</v>
      </c>
      <c r="AR89" s="645">
        <f t="shared" si="74"/>
        <v>36239</v>
      </c>
      <c r="AS89" s="645">
        <f t="shared" si="74"/>
        <v>1298</v>
      </c>
      <c r="AT89" s="645">
        <f t="shared" si="74"/>
        <v>4200</v>
      </c>
      <c r="AU89" s="645">
        <f t="shared" si="57"/>
        <v>0</v>
      </c>
      <c r="AV89" s="645">
        <f t="shared" si="58"/>
        <v>0</v>
      </c>
      <c r="AW89" s="645">
        <f t="shared" si="59"/>
        <v>0</v>
      </c>
      <c r="AX89" s="645">
        <f t="shared" si="60"/>
        <v>0</v>
      </c>
      <c r="AY89" s="645">
        <f t="shared" si="61"/>
        <v>31255.140000000003</v>
      </c>
      <c r="AZ89" s="645">
        <f t="shared" si="62"/>
        <v>31255.140000000003</v>
      </c>
      <c r="BA89" s="645">
        <v>1000</v>
      </c>
      <c r="BB89" s="657">
        <f>+Tabla2[[#This Row],[COSTO QUIMICA ]]/Tabla2[[#This Row],[VOLUMEN ENVIADO A RO (m3)]]</f>
        <v>105.00000000000001</v>
      </c>
    </row>
    <row r="90" spans="1:54" x14ac:dyDescent="0.25">
      <c r="A90" s="646">
        <f>+A89</f>
        <v>46142</v>
      </c>
      <c r="B90" s="610">
        <f>DAY(Tabla2[[#This Row],[FECHA]])</f>
        <v>30</v>
      </c>
      <c r="C90" s="628" t="s">
        <v>29</v>
      </c>
      <c r="D90" s="114"/>
      <c r="E90" s="114"/>
      <c r="F90" s="114"/>
      <c r="G90" s="114"/>
      <c r="H90" s="114"/>
      <c r="I90" s="625" t="e">
        <f>Tabla2[[#This Row],[VOLUMEN ENVIADO A RO (m3)]]/Tabla2[[#This Row],[Q DE OPERACIÓN (m3/h)]]</f>
        <v>#DIV/0!</v>
      </c>
      <c r="J90" s="123">
        <v>229.208</v>
      </c>
      <c r="K90" s="183"/>
      <c r="L90" s="183">
        <v>0</v>
      </c>
      <c r="M90" s="183">
        <v>0</v>
      </c>
      <c r="N90" s="183">
        <v>0</v>
      </c>
      <c r="O90" s="183">
        <v>0</v>
      </c>
      <c r="P90" s="183">
        <v>0</v>
      </c>
      <c r="Q90" s="123">
        <f t="shared" si="47"/>
        <v>0</v>
      </c>
      <c r="R90" s="123">
        <f t="shared" si="48"/>
        <v>0</v>
      </c>
      <c r="S90" s="123">
        <f t="shared" si="49"/>
        <v>0</v>
      </c>
      <c r="T90" s="123">
        <f t="shared" si="50"/>
        <v>0</v>
      </c>
      <c r="U90" s="123">
        <f t="shared" si="51"/>
        <v>0</v>
      </c>
      <c r="V90" s="123">
        <f t="shared" si="63"/>
        <v>0</v>
      </c>
      <c r="W90" s="123">
        <f t="shared" si="64"/>
        <v>0</v>
      </c>
      <c r="X90" s="123">
        <f t="shared" si="65"/>
        <v>0</v>
      </c>
      <c r="Y90" s="123">
        <f t="shared" si="66"/>
        <v>0</v>
      </c>
      <c r="Z90" s="123">
        <f t="shared" si="67"/>
        <v>0</v>
      </c>
      <c r="AA90" s="626">
        <v>1.18</v>
      </c>
      <c r="AB90" s="626">
        <v>1.28</v>
      </c>
      <c r="AC90" s="626">
        <v>1.2</v>
      </c>
      <c r="AD90" s="626">
        <v>1.53</v>
      </c>
      <c r="AE90" s="626">
        <v>1.2</v>
      </c>
      <c r="AF90" s="123">
        <f t="shared" si="68"/>
        <v>0</v>
      </c>
      <c r="AG90" s="123">
        <f t="shared" si="69"/>
        <v>0</v>
      </c>
      <c r="AH90" s="123">
        <f t="shared" si="70"/>
        <v>0</v>
      </c>
      <c r="AI90" s="123">
        <f t="shared" si="71"/>
        <v>0</v>
      </c>
      <c r="AJ90" s="123">
        <f t="shared" si="72"/>
        <v>0</v>
      </c>
      <c r="AK90" s="615">
        <f t="shared" si="52"/>
        <v>0</v>
      </c>
      <c r="AL90" s="615">
        <f t="shared" si="53"/>
        <v>0</v>
      </c>
      <c r="AM90" s="615">
        <f t="shared" si="54"/>
        <v>0</v>
      </c>
      <c r="AN90" s="615">
        <f t="shared" si="55"/>
        <v>0</v>
      </c>
      <c r="AO90" s="615">
        <f t="shared" si="56"/>
        <v>0</v>
      </c>
      <c r="AP90" s="627">
        <f t="shared" si="74"/>
        <v>1650</v>
      </c>
      <c r="AQ90" s="627">
        <f t="shared" si="74"/>
        <v>19160</v>
      </c>
      <c r="AR90" s="627">
        <f t="shared" si="74"/>
        <v>36239</v>
      </c>
      <c r="AS90" s="627">
        <f t="shared" si="74"/>
        <v>1298</v>
      </c>
      <c r="AT90" s="627">
        <f t="shared" si="74"/>
        <v>4200</v>
      </c>
      <c r="AU90" s="627">
        <f t="shared" si="57"/>
        <v>0</v>
      </c>
      <c r="AV90" s="627">
        <f t="shared" si="58"/>
        <v>0</v>
      </c>
      <c r="AW90" s="627">
        <f t="shared" si="59"/>
        <v>0</v>
      </c>
      <c r="AX90" s="627">
        <f t="shared" si="60"/>
        <v>0</v>
      </c>
      <c r="AY90" s="627">
        <f t="shared" si="61"/>
        <v>24066.84</v>
      </c>
      <c r="AZ90" s="627">
        <f t="shared" si="62"/>
        <v>24066.84</v>
      </c>
      <c r="BA90" s="627">
        <v>1000</v>
      </c>
      <c r="BB90" s="658">
        <f>+Tabla2[[#This Row],[COSTO QUIMICA ]]/Tabla2[[#This Row],[VOLUMEN ENVIADO A RO (m3)]]</f>
        <v>105</v>
      </c>
    </row>
    <row r="91" spans="1:54" ht="15.75" thickBot="1" x14ac:dyDescent="0.3">
      <c r="A91" s="647">
        <f>+A90</f>
        <v>46142</v>
      </c>
      <c r="B91" s="648">
        <f>DAY(Tabla2[[#This Row],[FECHA]])</f>
        <v>30</v>
      </c>
      <c r="C91" s="649" t="s">
        <v>30</v>
      </c>
      <c r="D91" s="115"/>
      <c r="E91" s="115"/>
      <c r="F91" s="115"/>
      <c r="G91" s="115"/>
      <c r="H91" s="115"/>
      <c r="I91" s="650" t="e">
        <f>Tabla2[[#This Row],[VOLUMEN ENVIADO A RO (m3)]]/Tabla2[[#This Row],[Q DE OPERACIÓN (m3/h)]]</f>
        <v>#DIV/0!</v>
      </c>
      <c r="J91" s="124">
        <v>182.185</v>
      </c>
      <c r="K91" s="184"/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124">
        <f t="shared" si="47"/>
        <v>0</v>
      </c>
      <c r="R91" s="124">
        <f t="shared" si="48"/>
        <v>0</v>
      </c>
      <c r="S91" s="124">
        <f t="shared" si="49"/>
        <v>0</v>
      </c>
      <c r="T91" s="124">
        <f t="shared" si="50"/>
        <v>0</v>
      </c>
      <c r="U91" s="124">
        <f t="shared" si="51"/>
        <v>0</v>
      </c>
      <c r="V91" s="124">
        <f t="shared" si="63"/>
        <v>0</v>
      </c>
      <c r="W91" s="124">
        <f t="shared" si="64"/>
        <v>0</v>
      </c>
      <c r="X91" s="124">
        <f t="shared" si="65"/>
        <v>0</v>
      </c>
      <c r="Y91" s="124">
        <f t="shared" si="66"/>
        <v>0</v>
      </c>
      <c r="Z91" s="124">
        <f t="shared" si="67"/>
        <v>0</v>
      </c>
      <c r="AA91" s="651">
        <v>1.18</v>
      </c>
      <c r="AB91" s="651">
        <v>1.28</v>
      </c>
      <c r="AC91" s="651">
        <v>1.2</v>
      </c>
      <c r="AD91" s="651">
        <v>1.53</v>
      </c>
      <c r="AE91" s="651">
        <v>1.2</v>
      </c>
      <c r="AF91" s="124">
        <f t="shared" si="68"/>
        <v>0</v>
      </c>
      <c r="AG91" s="124">
        <f t="shared" si="69"/>
        <v>0</v>
      </c>
      <c r="AH91" s="124">
        <f t="shared" si="70"/>
        <v>0</v>
      </c>
      <c r="AI91" s="124">
        <f t="shared" si="71"/>
        <v>0</v>
      </c>
      <c r="AJ91" s="124">
        <f t="shared" si="72"/>
        <v>0</v>
      </c>
      <c r="AK91" s="652">
        <f t="shared" si="52"/>
        <v>0</v>
      </c>
      <c r="AL91" s="652">
        <f t="shared" si="53"/>
        <v>0</v>
      </c>
      <c r="AM91" s="652">
        <f t="shared" si="54"/>
        <v>0</v>
      </c>
      <c r="AN91" s="652">
        <f t="shared" si="55"/>
        <v>0</v>
      </c>
      <c r="AO91" s="652">
        <f t="shared" si="56"/>
        <v>0</v>
      </c>
      <c r="AP91" s="653">
        <f t="shared" si="74"/>
        <v>1650</v>
      </c>
      <c r="AQ91" s="653">
        <f t="shared" si="74"/>
        <v>19160</v>
      </c>
      <c r="AR91" s="653">
        <f t="shared" si="74"/>
        <v>36239</v>
      </c>
      <c r="AS91" s="653">
        <f t="shared" si="74"/>
        <v>1298</v>
      </c>
      <c r="AT91" s="653">
        <f t="shared" si="74"/>
        <v>4200</v>
      </c>
      <c r="AU91" s="653">
        <f t="shared" si="57"/>
        <v>0</v>
      </c>
      <c r="AV91" s="653">
        <f t="shared" si="58"/>
        <v>0</v>
      </c>
      <c r="AW91" s="653">
        <f t="shared" si="59"/>
        <v>0</v>
      </c>
      <c r="AX91" s="653">
        <f t="shared" si="60"/>
        <v>0</v>
      </c>
      <c r="AY91" s="653">
        <f t="shared" si="61"/>
        <v>19129.425000000003</v>
      </c>
      <c r="AZ91" s="653">
        <f t="shared" si="62"/>
        <v>19129.425000000003</v>
      </c>
      <c r="BA91" s="653">
        <v>1000</v>
      </c>
      <c r="BB91" s="659">
        <f>+Tabla2[[#This Row],[COSTO QUIMICA ]]/Tabla2[[#This Row],[VOLUMEN ENVIADO A RO (m3)]]</f>
        <v>105.00000000000001</v>
      </c>
    </row>
    <row r="92" spans="1:54" x14ac:dyDescent="0.25">
      <c r="A92" s="640">
        <f>+A91+1</f>
        <v>46143</v>
      </c>
      <c r="B92" s="641">
        <f>DAY(Tabla2[[#This Row],[FECHA]])</f>
        <v>1</v>
      </c>
      <c r="C92" s="642" t="s">
        <v>28</v>
      </c>
      <c r="D92" s="117"/>
      <c r="E92" s="117"/>
      <c r="F92" s="117"/>
      <c r="G92" s="117"/>
      <c r="H92" s="117"/>
      <c r="I92" s="643" t="e">
        <f>Tabla2[[#This Row],[VOLUMEN ENVIADO A RO (m3)]]/Tabla2[[#This Row],[Q DE OPERACIÓN (m3/h)]]</f>
        <v>#DIV/0!</v>
      </c>
      <c r="J92" s="125"/>
      <c r="K92" s="182"/>
      <c r="L92" s="182">
        <v>0</v>
      </c>
      <c r="M92" s="182"/>
      <c r="N92" s="182">
        <v>0</v>
      </c>
      <c r="O92" s="182">
        <v>0</v>
      </c>
      <c r="P92" s="182">
        <v>0</v>
      </c>
      <c r="Q92" s="125">
        <f t="shared" si="47"/>
        <v>0</v>
      </c>
      <c r="R92" s="125">
        <f t="shared" si="48"/>
        <v>0</v>
      </c>
      <c r="S92" s="125">
        <f t="shared" si="49"/>
        <v>0</v>
      </c>
      <c r="T92" s="125">
        <f t="shared" si="50"/>
        <v>0</v>
      </c>
      <c r="U92" s="125">
        <f t="shared" si="51"/>
        <v>0</v>
      </c>
      <c r="V92" s="125">
        <f t="shared" si="63"/>
        <v>0</v>
      </c>
      <c r="W92" s="125">
        <f t="shared" si="64"/>
        <v>0</v>
      </c>
      <c r="X92" s="125">
        <f t="shared" si="65"/>
        <v>0</v>
      </c>
      <c r="Y92" s="125">
        <f t="shared" si="66"/>
        <v>0</v>
      </c>
      <c r="Z92" s="125">
        <f t="shared" si="67"/>
        <v>0</v>
      </c>
      <c r="AA92" s="644">
        <v>1.18</v>
      </c>
      <c r="AB92" s="644">
        <v>1.28</v>
      </c>
      <c r="AC92" s="644">
        <v>1.2</v>
      </c>
      <c r="AD92" s="644">
        <v>1.53</v>
      </c>
      <c r="AE92" s="644">
        <v>1.2</v>
      </c>
      <c r="AF92" s="125">
        <f t="shared" si="68"/>
        <v>0</v>
      </c>
      <c r="AG92" s="125">
        <f t="shared" si="69"/>
        <v>0</v>
      </c>
      <c r="AH92" s="125">
        <f t="shared" si="70"/>
        <v>0</v>
      </c>
      <c r="AI92" s="125">
        <f t="shared" si="71"/>
        <v>0</v>
      </c>
      <c r="AJ92" s="125">
        <f t="shared" si="72"/>
        <v>0</v>
      </c>
      <c r="AK92" s="617" t="e">
        <f t="shared" si="52"/>
        <v>#DIV/0!</v>
      </c>
      <c r="AL92" s="617" t="e">
        <f t="shared" si="53"/>
        <v>#DIV/0!</v>
      </c>
      <c r="AM92" s="617" t="e">
        <f t="shared" si="54"/>
        <v>#DIV/0!</v>
      </c>
      <c r="AN92" s="617" t="e">
        <f t="shared" si="55"/>
        <v>#DIV/0!</v>
      </c>
      <c r="AO92" s="617" t="e">
        <f t="shared" si="56"/>
        <v>#DIV/0!</v>
      </c>
      <c r="AP92" s="645">
        <f t="shared" si="74"/>
        <v>1650</v>
      </c>
      <c r="AQ92" s="645">
        <f t="shared" si="74"/>
        <v>19160</v>
      </c>
      <c r="AR92" s="645">
        <f t="shared" si="74"/>
        <v>36239</v>
      </c>
      <c r="AS92" s="645">
        <f t="shared" si="74"/>
        <v>1298</v>
      </c>
      <c r="AT92" s="645">
        <f t="shared" si="74"/>
        <v>4200</v>
      </c>
      <c r="AU92" s="645">
        <f t="shared" si="57"/>
        <v>0</v>
      </c>
      <c r="AV92" s="645">
        <f t="shared" si="58"/>
        <v>0</v>
      </c>
      <c r="AW92" s="645">
        <f t="shared" si="59"/>
        <v>0</v>
      </c>
      <c r="AX92" s="645">
        <f t="shared" si="60"/>
        <v>0</v>
      </c>
      <c r="AY92" s="645">
        <f t="shared" si="61"/>
        <v>0</v>
      </c>
      <c r="AZ92" s="645">
        <f t="shared" si="62"/>
        <v>0</v>
      </c>
      <c r="BA92" s="645">
        <v>1000</v>
      </c>
      <c r="BB92" s="657" t="e">
        <f>+Tabla2[[#This Row],[COSTO QUIMICA ]]/Tabla2[[#This Row],[VOLUMEN ENVIADO A RO (m3)]]</f>
        <v>#DIV/0!</v>
      </c>
    </row>
    <row r="93" spans="1:54" x14ac:dyDescent="0.25">
      <c r="A93" s="646">
        <f>+A92</f>
        <v>46143</v>
      </c>
      <c r="B93" s="610">
        <f>DAY(Tabla2[[#This Row],[FECHA]])</f>
        <v>1</v>
      </c>
      <c r="C93" s="628" t="s">
        <v>29</v>
      </c>
      <c r="D93" s="114"/>
      <c r="E93" s="114"/>
      <c r="F93" s="114"/>
      <c r="G93" s="114"/>
      <c r="H93" s="114"/>
      <c r="I93" s="625" t="e">
        <f>Tabla2[[#This Row],[VOLUMEN ENVIADO A RO (m3)]]/Tabla2[[#This Row],[Q DE OPERACIÓN (m3/h)]]</f>
        <v>#DIV/0!</v>
      </c>
      <c r="J93" s="123"/>
      <c r="K93" s="183"/>
      <c r="L93" s="183">
        <v>0</v>
      </c>
      <c r="M93" s="183"/>
      <c r="N93" s="183">
        <v>0</v>
      </c>
      <c r="O93" s="183">
        <v>0</v>
      </c>
      <c r="P93" s="183">
        <v>0</v>
      </c>
      <c r="Q93" s="123">
        <f t="shared" si="47"/>
        <v>0</v>
      </c>
      <c r="R93" s="123">
        <f t="shared" si="48"/>
        <v>0</v>
      </c>
      <c r="S93" s="123">
        <f t="shared" si="49"/>
        <v>0</v>
      </c>
      <c r="T93" s="123">
        <f t="shared" si="50"/>
        <v>0</v>
      </c>
      <c r="U93" s="123">
        <f t="shared" si="51"/>
        <v>0</v>
      </c>
      <c r="V93" s="123">
        <f t="shared" si="63"/>
        <v>0</v>
      </c>
      <c r="W93" s="123">
        <f t="shared" si="64"/>
        <v>0</v>
      </c>
      <c r="X93" s="123">
        <f t="shared" si="65"/>
        <v>0</v>
      </c>
      <c r="Y93" s="123">
        <f t="shared" si="66"/>
        <v>0</v>
      </c>
      <c r="Z93" s="123">
        <f t="shared" si="67"/>
        <v>0</v>
      </c>
      <c r="AA93" s="626">
        <v>1.18</v>
      </c>
      <c r="AB93" s="626">
        <v>1.28</v>
      </c>
      <c r="AC93" s="626">
        <v>1.2</v>
      </c>
      <c r="AD93" s="626">
        <v>1.53</v>
      </c>
      <c r="AE93" s="626">
        <v>1.2</v>
      </c>
      <c r="AF93" s="123">
        <f t="shared" si="68"/>
        <v>0</v>
      </c>
      <c r="AG93" s="123">
        <f t="shared" si="69"/>
        <v>0</v>
      </c>
      <c r="AH93" s="123">
        <f t="shared" si="70"/>
        <v>0</v>
      </c>
      <c r="AI93" s="123">
        <f t="shared" si="71"/>
        <v>0</v>
      </c>
      <c r="AJ93" s="123">
        <f t="shared" si="72"/>
        <v>0</v>
      </c>
      <c r="AK93" s="615" t="e">
        <f t="shared" si="52"/>
        <v>#DIV/0!</v>
      </c>
      <c r="AL93" s="615" t="e">
        <f t="shared" si="53"/>
        <v>#DIV/0!</v>
      </c>
      <c r="AM93" s="615" t="e">
        <f t="shared" si="54"/>
        <v>#DIV/0!</v>
      </c>
      <c r="AN93" s="615" t="e">
        <f t="shared" si="55"/>
        <v>#DIV/0!</v>
      </c>
      <c r="AO93" s="615" t="e">
        <f t="shared" si="56"/>
        <v>#DIV/0!</v>
      </c>
      <c r="AP93" s="627">
        <f t="shared" si="74"/>
        <v>1650</v>
      </c>
      <c r="AQ93" s="627">
        <f t="shared" si="74"/>
        <v>19160</v>
      </c>
      <c r="AR93" s="627">
        <f t="shared" si="74"/>
        <v>36239</v>
      </c>
      <c r="AS93" s="627">
        <f t="shared" si="74"/>
        <v>1298</v>
      </c>
      <c r="AT93" s="627">
        <f t="shared" si="74"/>
        <v>4200</v>
      </c>
      <c r="AU93" s="627">
        <f t="shared" si="57"/>
        <v>0</v>
      </c>
      <c r="AV93" s="627">
        <f t="shared" si="58"/>
        <v>0</v>
      </c>
      <c r="AW93" s="627">
        <f t="shared" si="59"/>
        <v>0</v>
      </c>
      <c r="AX93" s="627">
        <f t="shared" si="60"/>
        <v>0</v>
      </c>
      <c r="AY93" s="627">
        <f t="shared" si="61"/>
        <v>0</v>
      </c>
      <c r="AZ93" s="627">
        <f t="shared" si="62"/>
        <v>0</v>
      </c>
      <c r="BA93" s="627">
        <v>1000</v>
      </c>
      <c r="BB93" s="658" t="e">
        <f>+Tabla2[[#This Row],[COSTO QUIMICA ]]/Tabla2[[#This Row],[VOLUMEN ENVIADO A RO (m3)]]</f>
        <v>#DIV/0!</v>
      </c>
    </row>
    <row r="94" spans="1:54" ht="15.75" thickBot="1" x14ac:dyDescent="0.3">
      <c r="A94" s="647">
        <f>+A93</f>
        <v>46143</v>
      </c>
      <c r="B94" s="648">
        <f>DAY(Tabla2[[#This Row],[FECHA]])</f>
        <v>1</v>
      </c>
      <c r="C94" s="649" t="s">
        <v>30</v>
      </c>
      <c r="D94" s="115"/>
      <c r="E94" s="115"/>
      <c r="F94" s="115"/>
      <c r="G94" s="115"/>
      <c r="H94" s="115"/>
      <c r="I94" s="650" t="e">
        <f>Tabla2[[#This Row],[VOLUMEN ENVIADO A RO (m3)]]/Tabla2[[#This Row],[Q DE OPERACIÓN (m3/h)]]</f>
        <v>#DIV/0!</v>
      </c>
      <c r="J94" s="124"/>
      <c r="K94" s="184"/>
      <c r="L94" s="184">
        <v>0</v>
      </c>
      <c r="M94" s="184"/>
      <c r="N94" s="184">
        <v>0</v>
      </c>
      <c r="O94" s="184">
        <v>0</v>
      </c>
      <c r="P94" s="184">
        <v>0</v>
      </c>
      <c r="Q94" s="124">
        <f t="shared" si="47"/>
        <v>0</v>
      </c>
      <c r="R94" s="124">
        <f t="shared" si="48"/>
        <v>0</v>
      </c>
      <c r="S94" s="124">
        <f t="shared" si="49"/>
        <v>0</v>
      </c>
      <c r="T94" s="124">
        <f t="shared" si="50"/>
        <v>0</v>
      </c>
      <c r="U94" s="124">
        <f t="shared" si="51"/>
        <v>0</v>
      </c>
      <c r="V94" s="124">
        <f t="shared" si="63"/>
        <v>0</v>
      </c>
      <c r="W94" s="124">
        <f t="shared" si="64"/>
        <v>0</v>
      </c>
      <c r="X94" s="124">
        <f t="shared" si="65"/>
        <v>0</v>
      </c>
      <c r="Y94" s="124">
        <f t="shared" si="66"/>
        <v>0</v>
      </c>
      <c r="Z94" s="124">
        <f t="shared" si="67"/>
        <v>0</v>
      </c>
      <c r="AA94" s="651">
        <v>1.18</v>
      </c>
      <c r="AB94" s="651">
        <v>1.28</v>
      </c>
      <c r="AC94" s="651">
        <v>1.2</v>
      </c>
      <c r="AD94" s="651">
        <v>1.53</v>
      </c>
      <c r="AE94" s="651">
        <v>1.2</v>
      </c>
      <c r="AF94" s="124">
        <f t="shared" si="68"/>
        <v>0</v>
      </c>
      <c r="AG94" s="124">
        <f t="shared" si="69"/>
        <v>0</v>
      </c>
      <c r="AH94" s="124">
        <f t="shared" si="70"/>
        <v>0</v>
      </c>
      <c r="AI94" s="124">
        <f t="shared" si="71"/>
        <v>0</v>
      </c>
      <c r="AJ94" s="124">
        <f t="shared" si="72"/>
        <v>0</v>
      </c>
      <c r="AK94" s="652" t="e">
        <f t="shared" si="52"/>
        <v>#DIV/0!</v>
      </c>
      <c r="AL94" s="652" t="e">
        <f t="shared" si="53"/>
        <v>#DIV/0!</v>
      </c>
      <c r="AM94" s="652" t="e">
        <f t="shared" si="54"/>
        <v>#DIV/0!</v>
      </c>
      <c r="AN94" s="652" t="e">
        <f t="shared" si="55"/>
        <v>#DIV/0!</v>
      </c>
      <c r="AO94" s="652" t="e">
        <f t="shared" si="56"/>
        <v>#DIV/0!</v>
      </c>
      <c r="AP94" s="653">
        <f t="shared" si="74"/>
        <v>1650</v>
      </c>
      <c r="AQ94" s="653">
        <f t="shared" si="74"/>
        <v>19160</v>
      </c>
      <c r="AR94" s="653">
        <f t="shared" si="74"/>
        <v>36239</v>
      </c>
      <c r="AS94" s="653">
        <f t="shared" si="74"/>
        <v>1298</v>
      </c>
      <c r="AT94" s="653">
        <f t="shared" si="74"/>
        <v>4200</v>
      </c>
      <c r="AU94" s="653">
        <f t="shared" si="57"/>
        <v>0</v>
      </c>
      <c r="AV94" s="653">
        <f t="shared" si="58"/>
        <v>0</v>
      </c>
      <c r="AW94" s="653">
        <f t="shared" si="59"/>
        <v>0</v>
      </c>
      <c r="AX94" s="653">
        <f t="shared" si="60"/>
        <v>0</v>
      </c>
      <c r="AY94" s="653">
        <f t="shared" si="61"/>
        <v>0</v>
      </c>
      <c r="AZ94" s="653">
        <f t="shared" si="62"/>
        <v>0</v>
      </c>
      <c r="BA94" s="653">
        <v>1000</v>
      </c>
      <c r="BB94" s="659" t="e">
        <f>+Tabla2[[#This Row],[COSTO QUIMICA ]]/Tabla2[[#This Row],[VOLUMEN ENVIADO A RO (m3)]]</f>
        <v>#DIV/0!</v>
      </c>
    </row>
    <row r="95" spans="1:54" x14ac:dyDescent="0.25">
      <c r="A95" s="640"/>
      <c r="B95" s="641">
        <f>DAY(Tabla2[[#This Row],[FECHA]])</f>
        <v>0</v>
      </c>
      <c r="C95" s="642"/>
      <c r="D95" s="117"/>
      <c r="E95" s="117"/>
      <c r="F95" s="117"/>
      <c r="G95" s="117"/>
      <c r="H95" s="117"/>
      <c r="I95" s="643" t="e">
        <f>Tabla2[[#This Row],[VOLUMEN ENVIADO A RO (m3)]]/Tabla2[[#This Row],[Q DE OPERACIÓN (m3/h)]]</f>
        <v>#DIV/0!</v>
      </c>
      <c r="J95" s="125"/>
      <c r="K95" s="182"/>
      <c r="L95" s="182"/>
      <c r="M95" s="182"/>
      <c r="N95" s="182">
        <v>0</v>
      </c>
      <c r="O95" s="182">
        <v>0</v>
      </c>
      <c r="P95" s="182"/>
      <c r="Q95" s="125">
        <f t="shared" si="47"/>
        <v>0</v>
      </c>
      <c r="R95" s="125">
        <f t="shared" si="48"/>
        <v>0</v>
      </c>
      <c r="S95" s="125">
        <f t="shared" si="49"/>
        <v>0</v>
      </c>
      <c r="T95" s="125">
        <f t="shared" si="50"/>
        <v>0</v>
      </c>
      <c r="U95" s="125">
        <f t="shared" si="51"/>
        <v>0</v>
      </c>
      <c r="V95" s="125">
        <f t="shared" si="63"/>
        <v>0</v>
      </c>
      <c r="W95" s="125">
        <f t="shared" si="64"/>
        <v>0</v>
      </c>
      <c r="X95" s="125">
        <f t="shared" si="65"/>
        <v>0</v>
      </c>
      <c r="Y95" s="125">
        <f t="shared" si="66"/>
        <v>0</v>
      </c>
      <c r="Z95" s="125">
        <f t="shared" si="67"/>
        <v>0</v>
      </c>
      <c r="AA95" s="644"/>
      <c r="AB95" s="644"/>
      <c r="AC95" s="644"/>
      <c r="AD95" s="644"/>
      <c r="AE95" s="644"/>
      <c r="AF95" s="125">
        <f t="shared" si="68"/>
        <v>0</v>
      </c>
      <c r="AG95" s="125">
        <f t="shared" si="69"/>
        <v>0</v>
      </c>
      <c r="AH95" s="125">
        <f t="shared" si="70"/>
        <v>0</v>
      </c>
      <c r="AI95" s="125">
        <f t="shared" si="71"/>
        <v>0</v>
      </c>
      <c r="AJ95" s="125">
        <f t="shared" si="72"/>
        <v>0</v>
      </c>
      <c r="AK95" s="617" t="e">
        <f t="shared" si="52"/>
        <v>#DIV/0!</v>
      </c>
      <c r="AL95" s="617" t="e">
        <f t="shared" si="53"/>
        <v>#DIV/0!</v>
      </c>
      <c r="AM95" s="617" t="e">
        <f t="shared" si="54"/>
        <v>#DIV/0!</v>
      </c>
      <c r="AN95" s="617" t="e">
        <f t="shared" si="55"/>
        <v>#DIV/0!</v>
      </c>
      <c r="AO95" s="617" t="e">
        <f t="shared" si="56"/>
        <v>#DIV/0!</v>
      </c>
      <c r="AP95" s="645">
        <f t="shared" si="74"/>
        <v>1650</v>
      </c>
      <c r="AQ95" s="645">
        <f t="shared" si="74"/>
        <v>19160</v>
      </c>
      <c r="AR95" s="645">
        <f t="shared" si="74"/>
        <v>36239</v>
      </c>
      <c r="AS95" s="645">
        <f t="shared" si="74"/>
        <v>1298</v>
      </c>
      <c r="AT95" s="645">
        <f t="shared" si="74"/>
        <v>4200</v>
      </c>
      <c r="AU95" s="645">
        <f t="shared" si="57"/>
        <v>0</v>
      </c>
      <c r="AV95" s="645">
        <f t="shared" si="58"/>
        <v>0</v>
      </c>
      <c r="AW95" s="645">
        <f t="shared" si="59"/>
        <v>0</v>
      </c>
      <c r="AX95" s="645">
        <f t="shared" si="60"/>
        <v>0</v>
      </c>
      <c r="AY95" s="645">
        <f t="shared" si="61"/>
        <v>0</v>
      </c>
      <c r="AZ95" s="645">
        <f t="shared" si="62"/>
        <v>0</v>
      </c>
      <c r="BA95" s="645"/>
      <c r="BB95" s="657" t="e">
        <f>+Tabla2[[#This Row],[COSTO QUIMICA ]]/Tabla2[[#This Row],[VOLUMEN ENVIADO A RO (m3)]]</f>
        <v>#DIV/0!</v>
      </c>
    </row>
    <row r="96" spans="1:54" x14ac:dyDescent="0.25">
      <c r="A96" s="618"/>
      <c r="B96" s="619"/>
      <c r="D96" s="30"/>
      <c r="E96" s="616"/>
      <c r="F96" s="620"/>
      <c r="I96" s="621"/>
      <c r="J96" s="120"/>
      <c r="K96" s="120"/>
      <c r="L96" s="622"/>
      <c r="M96" s="623"/>
      <c r="N96" s="623"/>
      <c r="O96" s="623"/>
      <c r="P96" s="613"/>
      <c r="Q96" s="119"/>
      <c r="R96" s="119"/>
      <c r="S96" s="119"/>
      <c r="T96" s="119"/>
      <c r="U96" s="119"/>
      <c r="V96" s="121"/>
      <c r="W96" s="121"/>
      <c r="X96" s="121"/>
      <c r="Y96" s="121"/>
      <c r="Z96" s="122"/>
      <c r="AA96" s="624"/>
      <c r="AB96" s="624"/>
      <c r="AC96" s="624"/>
      <c r="AD96" s="624"/>
      <c r="AE96" s="624"/>
      <c r="AF96" s="120"/>
      <c r="AG96" s="121"/>
      <c r="AH96" s="121"/>
      <c r="AI96" s="121"/>
      <c r="AJ96" s="122"/>
      <c r="AK96" s="111"/>
      <c r="AL96" s="112"/>
      <c r="AM96" s="112"/>
      <c r="AN96" s="112"/>
      <c r="AO96" s="113"/>
      <c r="AP96" s="172"/>
      <c r="AQ96" s="173"/>
      <c r="AR96" s="173"/>
      <c r="AS96" s="173"/>
      <c r="AT96" s="174"/>
      <c r="AU96" s="172"/>
      <c r="AV96" s="173"/>
      <c r="AW96" s="173"/>
      <c r="AX96" s="173"/>
      <c r="AY96" s="174"/>
      <c r="AZ96" s="172">
        <f>SUM(AZ2:AZ94)</f>
        <v>1857950.7449999999</v>
      </c>
      <c r="BA96" s="173"/>
      <c r="BB96" s="173"/>
    </row>
    <row r="97" spans="10:10" x14ac:dyDescent="0.25">
      <c r="J97" s="121">
        <f>+SUM(J2:J94)</f>
        <v>17694.769000000008</v>
      </c>
    </row>
  </sheetData>
  <phoneticPr fontId="14" type="noConversion"/>
  <conditionalFormatting sqref="L2:P95">
    <cfRule type="containsBlanks" dxfId="2" priority="3">
      <formula>LEN(TRIM(L2))=0</formula>
    </cfRule>
  </conditionalFormatting>
  <conditionalFormatting sqref="V1:Z95">
    <cfRule type="cellIs" dxfId="1" priority="1" operator="lessThan">
      <formula>0</formula>
    </cfRule>
  </conditionalFormatting>
  <conditionalFormatting sqref="V96:Z1048576">
    <cfRule type="cellIs" dxfId="0" priority="2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sheetPr codeName="Hoja10"/>
  <dimension ref="A1:AH35"/>
  <sheetViews>
    <sheetView workbookViewId="0">
      <selection activeCell="A28" sqref="A24:A28"/>
      <pivotSelection pane="bottomRight" showHeader="1" axis="axisRow" activeRow="27" previousRow="27" click="1" r:id="rId4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5" x14ac:dyDescent="0.25"/>
  <cols>
    <col min="1" max="1" width="41" bestFit="1" customWidth="1"/>
    <col min="2" max="2" width="8.42578125" bestFit="1" customWidth="1"/>
    <col min="3" max="7" width="5.5703125" customWidth="1"/>
    <col min="8" max="12" width="8.42578125" bestFit="1" customWidth="1"/>
    <col min="13" max="30" width="5.5703125" customWidth="1"/>
    <col min="31" max="31" width="8.7109375" bestFit="1" customWidth="1"/>
    <col min="32" max="32" width="12.5703125" bestFit="1" customWidth="1"/>
    <col min="33" max="150" width="41.140625" bestFit="1" customWidth="1"/>
    <col min="151" max="151" width="29" bestFit="1" customWidth="1"/>
    <col min="152" max="153" width="46.140625" bestFit="1" customWidth="1"/>
    <col min="154" max="154" width="45" bestFit="1" customWidth="1"/>
    <col min="155" max="155" width="36.28515625" bestFit="1" customWidth="1"/>
    <col min="156" max="156" width="37.140625" bestFit="1" customWidth="1"/>
    <col min="157" max="158" width="52.85546875" bestFit="1" customWidth="1"/>
    <col min="159" max="159" width="51.5703125" bestFit="1" customWidth="1"/>
    <col min="160" max="160" width="43" bestFit="1" customWidth="1"/>
  </cols>
  <sheetData>
    <row r="1" spans="1:33" ht="15.75" thickBot="1" x14ac:dyDescent="0.3">
      <c r="A1" s="838" t="s">
        <v>157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838"/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  <c r="AA1" s="838"/>
      <c r="AB1" s="838"/>
      <c r="AC1" s="838"/>
      <c r="AD1" s="838"/>
      <c r="AE1" s="838"/>
      <c r="AF1" s="838"/>
    </row>
    <row r="2" spans="1:33" ht="15.75" thickBot="1" x14ac:dyDescent="0.3">
      <c r="A2" s="832" t="s">
        <v>5</v>
      </c>
      <c r="B2" s="833"/>
      <c r="C2" s="834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3" thickBot="1" x14ac:dyDescent="0.3">
      <c r="A3" s="393"/>
      <c r="B3" s="393" t="s">
        <v>79</v>
      </c>
      <c r="C3" s="388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90"/>
    </row>
    <row r="4" spans="1:33" ht="15.75" thickBot="1" x14ac:dyDescent="0.3">
      <c r="A4" s="393" t="s">
        <v>151</v>
      </c>
      <c r="B4" s="407">
        <v>1</v>
      </c>
      <c r="C4" s="408">
        <v>2</v>
      </c>
      <c r="D4" s="408">
        <v>3</v>
      </c>
      <c r="E4" s="408">
        <v>4</v>
      </c>
      <c r="F4" s="408">
        <v>5</v>
      </c>
      <c r="G4" s="408">
        <v>6</v>
      </c>
      <c r="H4" s="408">
        <v>7</v>
      </c>
      <c r="I4" s="408">
        <v>8</v>
      </c>
      <c r="J4" s="408">
        <v>9</v>
      </c>
      <c r="K4" s="408">
        <v>10</v>
      </c>
      <c r="L4" s="408">
        <v>11</v>
      </c>
      <c r="M4" s="408">
        <v>12</v>
      </c>
      <c r="N4" s="408">
        <v>13</v>
      </c>
      <c r="O4" s="408">
        <v>14</v>
      </c>
      <c r="P4" s="408">
        <v>15</v>
      </c>
      <c r="Q4" s="408">
        <v>16</v>
      </c>
      <c r="R4" s="408">
        <v>17</v>
      </c>
      <c r="S4" s="408">
        <v>18</v>
      </c>
      <c r="T4" s="408">
        <v>19</v>
      </c>
      <c r="U4" s="408">
        <v>20</v>
      </c>
      <c r="V4" s="408">
        <v>21</v>
      </c>
      <c r="W4" s="408">
        <v>22</v>
      </c>
      <c r="X4" s="408">
        <v>23</v>
      </c>
      <c r="Y4" s="408">
        <v>24</v>
      </c>
      <c r="Z4" s="408">
        <v>25</v>
      </c>
      <c r="AA4" s="408">
        <v>26</v>
      </c>
      <c r="AB4" s="408">
        <v>27</v>
      </c>
      <c r="AC4" s="408">
        <v>28</v>
      </c>
      <c r="AD4" s="408">
        <v>29</v>
      </c>
      <c r="AE4" s="408">
        <v>30</v>
      </c>
      <c r="AF4" s="409">
        <v>0</v>
      </c>
      <c r="AG4" s="410" t="s">
        <v>72</v>
      </c>
    </row>
    <row r="5" spans="1:33" ht="14.25" x14ac:dyDescent="0.25">
      <c r="A5" s="404" t="s">
        <v>146</v>
      </c>
      <c r="B5" s="93">
        <v>0</v>
      </c>
      <c r="C5" s="336">
        <v>0</v>
      </c>
      <c r="D5" s="433">
        <v>0</v>
      </c>
      <c r="E5" s="433">
        <v>0</v>
      </c>
      <c r="F5" s="433">
        <v>0</v>
      </c>
      <c r="G5" s="433">
        <v>0</v>
      </c>
      <c r="H5" s="433">
        <v>0</v>
      </c>
      <c r="I5" s="433">
        <v>0</v>
      </c>
      <c r="J5" s="433">
        <v>0</v>
      </c>
      <c r="K5" s="433">
        <v>0</v>
      </c>
      <c r="L5" s="433">
        <v>0</v>
      </c>
      <c r="M5" s="433">
        <v>0</v>
      </c>
      <c r="N5" s="433">
        <v>0</v>
      </c>
      <c r="O5" s="433">
        <v>0</v>
      </c>
      <c r="P5" s="433">
        <v>0</v>
      </c>
      <c r="Q5" s="433">
        <v>0</v>
      </c>
      <c r="R5" s="433">
        <v>0</v>
      </c>
      <c r="S5" s="433">
        <v>0</v>
      </c>
      <c r="T5" s="433">
        <v>0</v>
      </c>
      <c r="U5" s="433">
        <v>0</v>
      </c>
      <c r="V5" s="433">
        <v>0</v>
      </c>
      <c r="W5" s="433">
        <v>0</v>
      </c>
      <c r="X5" s="433">
        <v>0</v>
      </c>
      <c r="Y5" s="433">
        <v>0</v>
      </c>
      <c r="Z5" s="433">
        <v>0</v>
      </c>
      <c r="AA5" s="433">
        <v>0</v>
      </c>
      <c r="AB5" s="433">
        <v>0</v>
      </c>
      <c r="AC5" s="433">
        <v>0</v>
      </c>
      <c r="AD5" s="433">
        <v>0</v>
      </c>
      <c r="AE5" s="433">
        <v>0</v>
      </c>
      <c r="AF5" s="336">
        <v>0</v>
      </c>
      <c r="AG5" s="391">
        <v>0</v>
      </c>
    </row>
    <row r="6" spans="1:33" ht="14.25" x14ac:dyDescent="0.25">
      <c r="A6" s="405" t="s">
        <v>147</v>
      </c>
      <c r="B6" s="95">
        <v>0</v>
      </c>
      <c r="C6" s="89">
        <v>0</v>
      </c>
      <c r="D6" s="435">
        <v>0</v>
      </c>
      <c r="E6" s="435">
        <v>0</v>
      </c>
      <c r="F6" s="435">
        <v>0</v>
      </c>
      <c r="G6" s="435">
        <v>0</v>
      </c>
      <c r="H6" s="435">
        <v>0</v>
      </c>
      <c r="I6" s="435">
        <v>0</v>
      </c>
      <c r="J6" s="435">
        <v>0</v>
      </c>
      <c r="K6" s="435">
        <v>0</v>
      </c>
      <c r="L6" s="435">
        <v>0</v>
      </c>
      <c r="M6" s="435">
        <v>0</v>
      </c>
      <c r="N6" s="435">
        <v>0</v>
      </c>
      <c r="O6" s="435">
        <v>0</v>
      </c>
      <c r="P6" s="435">
        <v>0</v>
      </c>
      <c r="Q6" s="435">
        <v>0</v>
      </c>
      <c r="R6" s="435">
        <v>0</v>
      </c>
      <c r="S6" s="435">
        <v>0</v>
      </c>
      <c r="T6" s="435">
        <v>0</v>
      </c>
      <c r="U6" s="435">
        <v>0</v>
      </c>
      <c r="V6" s="435">
        <v>0</v>
      </c>
      <c r="W6" s="435">
        <v>0</v>
      </c>
      <c r="X6" s="435">
        <v>0</v>
      </c>
      <c r="Y6" s="435">
        <v>0</v>
      </c>
      <c r="Z6" s="435">
        <v>0</v>
      </c>
      <c r="AA6" s="435">
        <v>0</v>
      </c>
      <c r="AB6" s="435">
        <v>0</v>
      </c>
      <c r="AC6" s="435">
        <v>0</v>
      </c>
      <c r="AD6" s="435">
        <v>0</v>
      </c>
      <c r="AE6" s="435">
        <v>0</v>
      </c>
      <c r="AF6" s="89">
        <v>0</v>
      </c>
      <c r="AG6" s="392">
        <v>0</v>
      </c>
    </row>
    <row r="7" spans="1:33" ht="14.25" x14ac:dyDescent="0.25">
      <c r="A7" s="405" t="s">
        <v>148</v>
      </c>
      <c r="B7" s="95">
        <v>0</v>
      </c>
      <c r="C7" s="89">
        <v>0</v>
      </c>
      <c r="D7" s="435">
        <v>0</v>
      </c>
      <c r="E7" s="435">
        <v>0</v>
      </c>
      <c r="F7" s="435">
        <v>0</v>
      </c>
      <c r="G7" s="435">
        <v>0</v>
      </c>
      <c r="H7" s="435">
        <v>0</v>
      </c>
      <c r="I7" s="435">
        <v>0</v>
      </c>
      <c r="J7" s="435">
        <v>0</v>
      </c>
      <c r="K7" s="435">
        <v>0</v>
      </c>
      <c r="L7" s="435">
        <v>0</v>
      </c>
      <c r="M7" s="435">
        <v>0</v>
      </c>
      <c r="N7" s="435">
        <v>0</v>
      </c>
      <c r="O7" s="435">
        <v>0</v>
      </c>
      <c r="P7" s="435">
        <v>0</v>
      </c>
      <c r="Q7" s="435">
        <v>0</v>
      </c>
      <c r="R7" s="435">
        <v>0</v>
      </c>
      <c r="S7" s="435">
        <v>0</v>
      </c>
      <c r="T7" s="435">
        <v>0</v>
      </c>
      <c r="U7" s="435">
        <v>0</v>
      </c>
      <c r="V7" s="435">
        <v>0</v>
      </c>
      <c r="W7" s="435">
        <v>0</v>
      </c>
      <c r="X7" s="435">
        <v>0</v>
      </c>
      <c r="Y7" s="435">
        <v>0</v>
      </c>
      <c r="Z7" s="435">
        <v>0</v>
      </c>
      <c r="AA7" s="435">
        <v>0</v>
      </c>
      <c r="AB7" s="435">
        <v>0</v>
      </c>
      <c r="AC7" s="435">
        <v>0</v>
      </c>
      <c r="AD7" s="435">
        <v>0</v>
      </c>
      <c r="AE7" s="435">
        <v>0</v>
      </c>
      <c r="AF7" s="89">
        <v>0</v>
      </c>
      <c r="AG7" s="392">
        <v>0</v>
      </c>
    </row>
    <row r="8" spans="1:33" x14ac:dyDescent="0.25">
      <c r="A8" s="405" t="s">
        <v>149</v>
      </c>
      <c r="B8" s="95">
        <v>0</v>
      </c>
      <c r="C8" s="89">
        <v>0</v>
      </c>
      <c r="D8" s="435">
        <v>0</v>
      </c>
      <c r="E8" s="435">
        <v>0</v>
      </c>
      <c r="F8" s="435">
        <v>0</v>
      </c>
      <c r="G8" s="435">
        <v>0</v>
      </c>
      <c r="H8" s="435">
        <v>0</v>
      </c>
      <c r="I8" s="435">
        <v>0</v>
      </c>
      <c r="J8" s="435">
        <v>0</v>
      </c>
      <c r="K8" s="435">
        <v>0</v>
      </c>
      <c r="L8" s="435">
        <v>0</v>
      </c>
      <c r="M8" s="435">
        <v>0</v>
      </c>
      <c r="N8" s="435">
        <v>0</v>
      </c>
      <c r="O8" s="435">
        <v>0</v>
      </c>
      <c r="P8" s="435">
        <v>0</v>
      </c>
      <c r="Q8" s="435">
        <v>0</v>
      </c>
      <c r="R8" s="435">
        <v>0</v>
      </c>
      <c r="S8" s="435">
        <v>0</v>
      </c>
      <c r="T8" s="435">
        <v>0</v>
      </c>
      <c r="U8" s="435">
        <v>0</v>
      </c>
      <c r="V8" s="435">
        <v>0</v>
      </c>
      <c r="W8" s="435">
        <v>0</v>
      </c>
      <c r="X8" s="435">
        <v>0</v>
      </c>
      <c r="Y8" s="435">
        <v>0</v>
      </c>
      <c r="Z8" s="435">
        <v>0</v>
      </c>
      <c r="AA8" s="435">
        <v>0</v>
      </c>
      <c r="AB8" s="435">
        <v>0</v>
      </c>
      <c r="AC8" s="435">
        <v>0</v>
      </c>
      <c r="AD8" s="435">
        <v>0</v>
      </c>
      <c r="AE8" s="435">
        <v>0</v>
      </c>
      <c r="AF8" s="89">
        <v>0</v>
      </c>
      <c r="AG8" s="392">
        <v>0</v>
      </c>
    </row>
    <row r="9" spans="1:33" thickBot="1" x14ac:dyDescent="0.3">
      <c r="A9" s="406" t="s">
        <v>150</v>
      </c>
      <c r="B9" s="92">
        <v>0</v>
      </c>
      <c r="C9" s="338">
        <v>0</v>
      </c>
      <c r="D9" s="436">
        <v>0</v>
      </c>
      <c r="E9" s="436">
        <v>0</v>
      </c>
      <c r="F9" s="436">
        <v>0</v>
      </c>
      <c r="G9" s="436">
        <v>0</v>
      </c>
      <c r="H9" s="436">
        <v>0</v>
      </c>
      <c r="I9" s="436">
        <v>0</v>
      </c>
      <c r="J9" s="436">
        <v>0</v>
      </c>
      <c r="K9" s="436">
        <v>0</v>
      </c>
      <c r="L9" s="436">
        <v>0</v>
      </c>
      <c r="M9" s="436">
        <v>0</v>
      </c>
      <c r="N9" s="436">
        <v>0</v>
      </c>
      <c r="O9" s="436">
        <v>0</v>
      </c>
      <c r="P9" s="436">
        <v>0</v>
      </c>
      <c r="Q9" s="436">
        <v>0</v>
      </c>
      <c r="R9" s="436">
        <v>0</v>
      </c>
      <c r="S9" s="436">
        <v>0</v>
      </c>
      <c r="T9" s="436">
        <v>0</v>
      </c>
      <c r="U9" s="436">
        <v>0</v>
      </c>
      <c r="V9" s="436">
        <v>0</v>
      </c>
      <c r="W9" s="436">
        <v>0</v>
      </c>
      <c r="X9" s="436">
        <v>0</v>
      </c>
      <c r="Y9" s="436">
        <v>0</v>
      </c>
      <c r="Z9" s="436">
        <v>0</v>
      </c>
      <c r="AA9" s="436">
        <v>0</v>
      </c>
      <c r="AB9" s="436">
        <v>0</v>
      </c>
      <c r="AC9" s="436">
        <v>0</v>
      </c>
      <c r="AD9" s="436">
        <v>0</v>
      </c>
      <c r="AE9" s="436">
        <v>0</v>
      </c>
      <c r="AF9" s="338">
        <v>0</v>
      </c>
      <c r="AG9" s="437">
        <v>0</v>
      </c>
    </row>
    <row r="10" spans="1:33" thickBo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3" ht="15.75" thickBot="1" x14ac:dyDescent="0.3">
      <c r="A11" s="835" t="s">
        <v>4</v>
      </c>
      <c r="B11" s="836"/>
      <c r="C11" s="837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3" thickBot="1" x14ac:dyDescent="0.3">
      <c r="A12" s="385"/>
      <c r="B12" s="385" t="s">
        <v>79</v>
      </c>
      <c r="C12" s="398"/>
      <c r="D12" s="384"/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  <c r="AA12" s="384"/>
      <c r="AB12" s="384"/>
      <c r="AC12" s="384"/>
      <c r="AD12" s="384"/>
      <c r="AE12" s="384"/>
      <c r="AF12" s="384"/>
      <c r="AG12" s="399"/>
    </row>
    <row r="13" spans="1:33" ht="15.75" thickBot="1" x14ac:dyDescent="0.3">
      <c r="A13" s="385" t="s">
        <v>151</v>
      </c>
      <c r="B13" s="403">
        <v>1</v>
      </c>
      <c r="C13" s="403">
        <v>2</v>
      </c>
      <c r="D13" s="403">
        <v>3</v>
      </c>
      <c r="E13" s="403">
        <v>4</v>
      </c>
      <c r="F13" s="403">
        <v>5</v>
      </c>
      <c r="G13" s="403">
        <v>6</v>
      </c>
      <c r="H13" s="403">
        <v>7</v>
      </c>
      <c r="I13" s="403">
        <v>8</v>
      </c>
      <c r="J13" s="403">
        <v>9</v>
      </c>
      <c r="K13" s="403">
        <v>10</v>
      </c>
      <c r="L13" s="403">
        <v>11</v>
      </c>
      <c r="M13" s="403">
        <v>12</v>
      </c>
      <c r="N13" s="403">
        <v>13</v>
      </c>
      <c r="O13" s="403">
        <v>14</v>
      </c>
      <c r="P13" s="403">
        <v>15</v>
      </c>
      <c r="Q13" s="403">
        <v>16</v>
      </c>
      <c r="R13" s="403">
        <v>17</v>
      </c>
      <c r="S13" s="403">
        <v>18</v>
      </c>
      <c r="T13" s="403">
        <v>19</v>
      </c>
      <c r="U13" s="403">
        <v>20</v>
      </c>
      <c r="V13" s="403">
        <v>21</v>
      </c>
      <c r="W13" s="403">
        <v>22</v>
      </c>
      <c r="X13" s="403">
        <v>23</v>
      </c>
      <c r="Y13" s="403">
        <v>24</v>
      </c>
      <c r="Z13" s="403">
        <v>25</v>
      </c>
      <c r="AA13" s="403">
        <v>26</v>
      </c>
      <c r="AB13" s="403">
        <v>27</v>
      </c>
      <c r="AC13" s="403">
        <v>28</v>
      </c>
      <c r="AD13" s="403">
        <v>29</v>
      </c>
      <c r="AE13" s="403">
        <v>30</v>
      </c>
      <c r="AF13" s="403">
        <v>0</v>
      </c>
      <c r="AG13" s="403" t="s">
        <v>72</v>
      </c>
    </row>
    <row r="14" spans="1:33" ht="14.25" x14ac:dyDescent="0.25">
      <c r="A14" s="400" t="s">
        <v>152</v>
      </c>
      <c r="B14" s="331">
        <v>0</v>
      </c>
      <c r="C14" s="332">
        <v>0</v>
      </c>
      <c r="D14" s="394">
        <v>0</v>
      </c>
      <c r="E14" s="394">
        <v>0</v>
      </c>
      <c r="F14" s="394">
        <v>0</v>
      </c>
      <c r="G14" s="394">
        <v>0</v>
      </c>
      <c r="H14" s="394">
        <v>0</v>
      </c>
      <c r="I14" s="394">
        <v>0</v>
      </c>
      <c r="J14" s="394">
        <v>0</v>
      </c>
      <c r="K14" s="394">
        <v>0</v>
      </c>
      <c r="L14" s="394">
        <v>0</v>
      </c>
      <c r="M14" s="394">
        <v>0</v>
      </c>
      <c r="N14" s="394">
        <v>0</v>
      </c>
      <c r="O14" s="394">
        <v>0</v>
      </c>
      <c r="P14" s="394">
        <v>0</v>
      </c>
      <c r="Q14" s="394">
        <v>0</v>
      </c>
      <c r="R14" s="394">
        <v>0</v>
      </c>
      <c r="S14" s="394">
        <v>0</v>
      </c>
      <c r="T14" s="394">
        <v>0</v>
      </c>
      <c r="U14" s="394">
        <v>0</v>
      </c>
      <c r="V14" s="394">
        <v>0</v>
      </c>
      <c r="W14" s="394">
        <v>0</v>
      </c>
      <c r="X14" s="394">
        <v>0</v>
      </c>
      <c r="Y14" s="394">
        <v>0</v>
      </c>
      <c r="Z14" s="394">
        <v>0</v>
      </c>
      <c r="AA14" s="394">
        <v>0</v>
      </c>
      <c r="AB14" s="394">
        <v>0</v>
      </c>
      <c r="AC14" s="394">
        <v>0</v>
      </c>
      <c r="AD14" s="394">
        <v>0</v>
      </c>
      <c r="AE14" s="394">
        <v>0</v>
      </c>
      <c r="AF14" s="332">
        <v>0</v>
      </c>
      <c r="AG14" s="395">
        <v>0</v>
      </c>
    </row>
    <row r="15" spans="1:33" ht="14.25" x14ac:dyDescent="0.25">
      <c r="A15" s="401" t="s">
        <v>153</v>
      </c>
      <c r="B15" s="342">
        <v>0</v>
      </c>
      <c r="C15" s="85">
        <v>0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85">
        <v>0</v>
      </c>
      <c r="AG15" s="396">
        <v>0</v>
      </c>
    </row>
    <row r="16" spans="1:33" ht="14.25" x14ac:dyDescent="0.25">
      <c r="A16" s="401" t="s">
        <v>154</v>
      </c>
      <c r="B16" s="342">
        <v>0</v>
      </c>
      <c r="C16" s="85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85">
        <v>0</v>
      </c>
      <c r="AG16" s="396">
        <v>0</v>
      </c>
    </row>
    <row r="17" spans="1:33" x14ac:dyDescent="0.25">
      <c r="A17" s="401" t="s">
        <v>155</v>
      </c>
      <c r="B17" s="342">
        <v>0</v>
      </c>
      <c r="C17" s="85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85">
        <v>0</v>
      </c>
      <c r="AG17" s="396">
        <v>0</v>
      </c>
    </row>
    <row r="18" spans="1:33" thickBot="1" x14ac:dyDescent="0.3">
      <c r="A18" s="402" t="s">
        <v>156</v>
      </c>
      <c r="B18" s="334">
        <v>0</v>
      </c>
      <c r="C18" s="335">
        <v>0</v>
      </c>
      <c r="D18" s="387">
        <v>0</v>
      </c>
      <c r="E18" s="387">
        <v>0</v>
      </c>
      <c r="F18" s="387">
        <v>0</v>
      </c>
      <c r="G18" s="387">
        <v>0</v>
      </c>
      <c r="H18" s="387">
        <v>0</v>
      </c>
      <c r="I18" s="387">
        <v>0</v>
      </c>
      <c r="J18" s="387">
        <v>0</v>
      </c>
      <c r="K18" s="387">
        <v>0</v>
      </c>
      <c r="L18" s="387">
        <v>0</v>
      </c>
      <c r="M18" s="387">
        <v>0</v>
      </c>
      <c r="N18" s="387">
        <v>0</v>
      </c>
      <c r="O18" s="387">
        <v>0</v>
      </c>
      <c r="P18" s="387">
        <v>0</v>
      </c>
      <c r="Q18" s="387">
        <v>0</v>
      </c>
      <c r="R18" s="387">
        <v>0</v>
      </c>
      <c r="S18" s="387">
        <v>0</v>
      </c>
      <c r="T18" s="387">
        <v>0</v>
      </c>
      <c r="U18" s="387">
        <v>0</v>
      </c>
      <c r="V18" s="387">
        <v>0</v>
      </c>
      <c r="W18" s="387">
        <v>0</v>
      </c>
      <c r="X18" s="387">
        <v>0</v>
      </c>
      <c r="Y18" s="387">
        <v>0</v>
      </c>
      <c r="Z18" s="387">
        <v>0</v>
      </c>
      <c r="AA18" s="387">
        <v>0</v>
      </c>
      <c r="AB18" s="387">
        <v>0</v>
      </c>
      <c r="AC18" s="387">
        <v>0</v>
      </c>
      <c r="AD18" s="387">
        <v>0</v>
      </c>
      <c r="AE18" s="387">
        <v>0</v>
      </c>
      <c r="AF18" s="335">
        <v>0</v>
      </c>
      <c r="AG18" s="397">
        <v>0</v>
      </c>
    </row>
    <row r="19" spans="1:33" ht="14.25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3" thickBot="1" x14ac:dyDescent="0.3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3" ht="15.75" thickBot="1" x14ac:dyDescent="0.3">
      <c r="A21" s="840" t="s">
        <v>179</v>
      </c>
      <c r="B21" s="841"/>
      <c r="C21" s="842"/>
    </row>
    <row r="22" spans="1:33" ht="15.75" thickBot="1" x14ac:dyDescent="0.3">
      <c r="A22" s="423"/>
      <c r="B22" s="423" t="s">
        <v>79</v>
      </c>
      <c r="C22" s="424"/>
      <c r="D22" s="425"/>
      <c r="E22" s="425"/>
      <c r="F22" s="425"/>
      <c r="G22" s="425"/>
      <c r="H22" s="425"/>
      <c r="I22" s="425"/>
      <c r="J22" s="425"/>
      <c r="K22" s="425"/>
      <c r="L22" s="425"/>
      <c r="M22" s="425"/>
      <c r="N22" s="425"/>
      <c r="O22" s="425"/>
      <c r="P22" s="425"/>
      <c r="Q22" s="425"/>
      <c r="R22" s="425"/>
      <c r="S22" s="425"/>
      <c r="T22" s="425"/>
      <c r="U22" s="425"/>
      <c r="V22" s="425"/>
      <c r="W22" s="425"/>
      <c r="X22" s="425"/>
      <c r="Y22" s="425"/>
      <c r="Z22" s="425"/>
      <c r="AA22" s="425"/>
      <c r="AB22" s="425"/>
      <c r="AC22" s="425"/>
      <c r="AD22" s="425"/>
      <c r="AE22" s="425"/>
      <c r="AF22" s="425"/>
      <c r="AG22" s="426"/>
    </row>
    <row r="23" spans="1:33" ht="15.75" thickBot="1" x14ac:dyDescent="0.3">
      <c r="A23" s="423" t="s">
        <v>151</v>
      </c>
      <c r="B23" s="427">
        <v>1</v>
      </c>
      <c r="C23" s="427">
        <v>2</v>
      </c>
      <c r="D23" s="427">
        <v>3</v>
      </c>
      <c r="E23" s="427">
        <v>4</v>
      </c>
      <c r="F23" s="427">
        <v>5</v>
      </c>
      <c r="G23" s="427">
        <v>6</v>
      </c>
      <c r="H23" s="427">
        <v>7</v>
      </c>
      <c r="I23" s="427">
        <v>8</v>
      </c>
      <c r="J23" s="427">
        <v>9</v>
      </c>
      <c r="K23" s="427">
        <v>10</v>
      </c>
      <c r="L23" s="427">
        <v>11</v>
      </c>
      <c r="M23" s="427">
        <v>12</v>
      </c>
      <c r="N23" s="427">
        <v>13</v>
      </c>
      <c r="O23" s="427">
        <v>14</v>
      </c>
      <c r="P23" s="427">
        <v>15</v>
      </c>
      <c r="Q23" s="427">
        <v>16</v>
      </c>
      <c r="R23" s="427">
        <v>17</v>
      </c>
      <c r="S23" s="427">
        <v>18</v>
      </c>
      <c r="T23" s="427">
        <v>19</v>
      </c>
      <c r="U23" s="427">
        <v>20</v>
      </c>
      <c r="V23" s="427">
        <v>21</v>
      </c>
      <c r="W23" s="427">
        <v>22</v>
      </c>
      <c r="X23" s="427">
        <v>23</v>
      </c>
      <c r="Y23" s="427">
        <v>24</v>
      </c>
      <c r="Z23" s="427">
        <v>25</v>
      </c>
      <c r="AA23" s="427">
        <v>26</v>
      </c>
      <c r="AB23" s="427">
        <v>27</v>
      </c>
      <c r="AC23" s="427">
        <v>28</v>
      </c>
      <c r="AD23" s="427">
        <v>29</v>
      </c>
      <c r="AE23" s="427">
        <v>30</v>
      </c>
      <c r="AF23" s="427">
        <v>0</v>
      </c>
      <c r="AG23" s="427" t="s">
        <v>72</v>
      </c>
    </row>
    <row r="24" spans="1:33" x14ac:dyDescent="0.25">
      <c r="A24" s="144" t="s">
        <v>180</v>
      </c>
      <c r="B24" s="331" t="e">
        <v>#DIV/0!</v>
      </c>
      <c r="C24" s="332" t="e">
        <v>#DIV/0!</v>
      </c>
      <c r="D24" s="394" t="e">
        <v>#DIV/0!</v>
      </c>
      <c r="E24" s="394" t="e">
        <v>#DIV/0!</v>
      </c>
      <c r="F24" s="394" t="e">
        <v>#DIV/0!</v>
      </c>
      <c r="G24" s="394">
        <v>0</v>
      </c>
      <c r="H24" s="394">
        <v>0</v>
      </c>
      <c r="I24" s="394">
        <v>0</v>
      </c>
      <c r="J24" s="394">
        <v>0</v>
      </c>
      <c r="K24" s="394">
        <v>0</v>
      </c>
      <c r="L24" s="394">
        <v>0</v>
      </c>
      <c r="M24" s="394" t="e">
        <v>#DIV/0!</v>
      </c>
      <c r="N24" s="394">
        <v>0</v>
      </c>
      <c r="O24" s="394">
        <v>0</v>
      </c>
      <c r="P24" s="394">
        <v>0</v>
      </c>
      <c r="Q24" s="394">
        <v>0</v>
      </c>
      <c r="R24" s="394">
        <v>0</v>
      </c>
      <c r="S24" s="394">
        <v>0</v>
      </c>
      <c r="T24" s="394" t="e">
        <v>#DIV/0!</v>
      </c>
      <c r="U24" s="394">
        <v>0</v>
      </c>
      <c r="V24" s="394">
        <v>0</v>
      </c>
      <c r="W24" s="394">
        <v>0</v>
      </c>
      <c r="X24" s="394">
        <v>0</v>
      </c>
      <c r="Y24" s="394">
        <v>0</v>
      </c>
      <c r="Z24" s="394">
        <v>0</v>
      </c>
      <c r="AA24" s="394">
        <v>0</v>
      </c>
      <c r="AB24" s="394">
        <v>0</v>
      </c>
      <c r="AC24" s="394">
        <v>0</v>
      </c>
      <c r="AD24" s="394">
        <v>0</v>
      </c>
      <c r="AE24" s="394">
        <v>0</v>
      </c>
      <c r="AF24" s="332" t="e">
        <v>#DIV/0!</v>
      </c>
      <c r="AG24" s="395">
        <v>0</v>
      </c>
    </row>
    <row r="25" spans="1:33" x14ac:dyDescent="0.25">
      <c r="A25" s="144" t="s">
        <v>182</v>
      </c>
      <c r="B25" s="342" t="e">
        <v>#DIV/0!</v>
      </c>
      <c r="C25" s="85" t="e">
        <v>#DIV/0!</v>
      </c>
      <c r="D25" s="90" t="e">
        <v>#DIV/0!</v>
      </c>
      <c r="E25" s="90" t="e">
        <v>#DIV/0!</v>
      </c>
      <c r="F25" s="90" t="e">
        <v>#DIV/0!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 t="e">
        <v>#DIV/0!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 t="e">
        <v>#DIV/0!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85" t="e">
        <v>#DIV/0!</v>
      </c>
      <c r="AG25" s="396">
        <v>0</v>
      </c>
    </row>
    <row r="26" spans="1:33" x14ac:dyDescent="0.25">
      <c r="A26" s="144" t="s">
        <v>183</v>
      </c>
      <c r="B26" s="342" t="e">
        <v>#DIV/0!</v>
      </c>
      <c r="C26" s="85" t="e">
        <v>#DIV/0!</v>
      </c>
      <c r="D26" s="90" t="e">
        <v>#DIV/0!</v>
      </c>
      <c r="E26" s="90" t="e">
        <v>#DIV/0!</v>
      </c>
      <c r="F26" s="90" t="e">
        <v>#DIV/0!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 t="e">
        <v>#DIV/0!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 t="e">
        <v>#DIV/0!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85" t="e">
        <v>#DIV/0!</v>
      </c>
      <c r="AG26" s="396">
        <v>0</v>
      </c>
    </row>
    <row r="27" spans="1:33" x14ac:dyDescent="0.25">
      <c r="A27" s="144" t="s">
        <v>184</v>
      </c>
      <c r="B27" s="342" t="e">
        <v>#NAME?</v>
      </c>
      <c r="C27" s="85" t="e">
        <v>#NAME?</v>
      </c>
      <c r="D27" s="90" t="e">
        <v>#NAME?</v>
      </c>
      <c r="E27" s="90" t="e">
        <v>#NAME?</v>
      </c>
      <c r="F27" s="90" t="e">
        <v>#NAME?</v>
      </c>
      <c r="G27" s="90" t="e">
        <v>#NAME?</v>
      </c>
      <c r="H27" s="90" t="e">
        <v>#NAME?</v>
      </c>
      <c r="I27" s="90" t="e">
        <v>#NAME?</v>
      </c>
      <c r="J27" s="90" t="e">
        <v>#NAME?</v>
      </c>
      <c r="K27" s="90" t="e">
        <v>#NAME?</v>
      </c>
      <c r="L27" s="90" t="e">
        <v>#NAME?</v>
      </c>
      <c r="M27" s="90" t="e">
        <v>#NAME?</v>
      </c>
      <c r="N27" s="90" t="e">
        <v>#NAME?</v>
      </c>
      <c r="O27" s="90" t="e">
        <v>#NAME?</v>
      </c>
      <c r="P27" s="90" t="e">
        <v>#NAME?</v>
      </c>
      <c r="Q27" s="90" t="e">
        <v>#NAME?</v>
      </c>
      <c r="R27" s="90" t="e">
        <v>#NAME?</v>
      </c>
      <c r="S27" s="90" t="e">
        <v>#NAME?</v>
      </c>
      <c r="T27" s="90" t="e">
        <v>#NAME?</v>
      </c>
      <c r="U27" s="90" t="e">
        <v>#NAME?</v>
      </c>
      <c r="V27" s="90" t="e">
        <v>#NAME?</v>
      </c>
      <c r="W27" s="90" t="e">
        <v>#NAME?</v>
      </c>
      <c r="X27" s="90" t="e">
        <v>#NAME?</v>
      </c>
      <c r="Y27" s="90" t="e">
        <v>#NAME?</v>
      </c>
      <c r="Z27" s="90" t="e">
        <v>#NAME?</v>
      </c>
      <c r="AA27" s="90" t="e">
        <v>#NAME?</v>
      </c>
      <c r="AB27" s="90" t="e">
        <v>#NAME?</v>
      </c>
      <c r="AC27" s="90" t="e">
        <v>#NAME?</v>
      </c>
      <c r="AD27" s="90" t="e">
        <v>#NAME?</v>
      </c>
      <c r="AE27" s="90" t="e">
        <v>#NAME?</v>
      </c>
      <c r="AF27" s="85" t="e">
        <v>#NAME?</v>
      </c>
      <c r="AG27" s="396" t="e">
        <v>#NAME?</v>
      </c>
    </row>
    <row r="28" spans="1:33" ht="15.75" thickBot="1" x14ac:dyDescent="0.3">
      <c r="A28" s="420" t="s">
        <v>185</v>
      </c>
      <c r="B28" s="334" t="e">
        <v>#DIV/0!</v>
      </c>
      <c r="C28" s="335" t="e">
        <v>#DIV/0!</v>
      </c>
      <c r="D28" s="387" t="e">
        <v>#DIV/0!</v>
      </c>
      <c r="E28" s="387" t="e">
        <v>#DIV/0!</v>
      </c>
      <c r="F28" s="387" t="e">
        <v>#DIV/0!</v>
      </c>
      <c r="G28" s="387">
        <v>0</v>
      </c>
      <c r="H28" s="387">
        <v>0</v>
      </c>
      <c r="I28" s="387">
        <v>0</v>
      </c>
      <c r="J28" s="387">
        <v>0</v>
      </c>
      <c r="K28" s="387">
        <v>0</v>
      </c>
      <c r="L28" s="387">
        <v>0</v>
      </c>
      <c r="M28" s="387" t="e">
        <v>#DIV/0!</v>
      </c>
      <c r="N28" s="387">
        <v>0</v>
      </c>
      <c r="O28" s="387">
        <v>0</v>
      </c>
      <c r="P28" s="387">
        <v>0</v>
      </c>
      <c r="Q28" s="387">
        <v>0</v>
      </c>
      <c r="R28" s="387">
        <v>0</v>
      </c>
      <c r="S28" s="387">
        <v>0</v>
      </c>
      <c r="T28" s="387" t="e">
        <v>#DIV/0!</v>
      </c>
      <c r="U28" s="387">
        <v>0</v>
      </c>
      <c r="V28" s="387">
        <v>0</v>
      </c>
      <c r="W28" s="387">
        <v>0</v>
      </c>
      <c r="X28" s="387">
        <v>0</v>
      </c>
      <c r="Y28" s="387">
        <v>0</v>
      </c>
      <c r="Z28" s="387">
        <v>0</v>
      </c>
      <c r="AA28" s="387">
        <v>0</v>
      </c>
      <c r="AB28" s="387">
        <v>0</v>
      </c>
      <c r="AC28" s="387">
        <v>0</v>
      </c>
      <c r="AD28" s="387">
        <v>0</v>
      </c>
      <c r="AE28" s="387">
        <v>0</v>
      </c>
      <c r="AF28" s="335" t="e">
        <v>#DIV/0!</v>
      </c>
      <c r="AG28" s="397">
        <v>0</v>
      </c>
    </row>
    <row r="30" spans="1:33" ht="15.75" thickBot="1" x14ac:dyDescent="0.3"/>
    <row r="31" spans="1:33" ht="15.75" thickBot="1" x14ac:dyDescent="0.3">
      <c r="A31" s="839" t="s">
        <v>31</v>
      </c>
      <c r="B31" s="791"/>
      <c r="C31" s="792"/>
    </row>
    <row r="32" spans="1:33" ht="15.75" thickBot="1" x14ac:dyDescent="0.3">
      <c r="A32" s="411"/>
      <c r="B32" s="412" t="s">
        <v>79</v>
      </c>
      <c r="C32" s="413"/>
      <c r="D32" s="414"/>
      <c r="E32" s="414"/>
      <c r="F32" s="414"/>
      <c r="G32" s="414"/>
      <c r="H32" s="414"/>
      <c r="I32" s="414"/>
      <c r="J32" s="414"/>
      <c r="K32" s="414"/>
      <c r="L32" s="414"/>
      <c r="M32" s="414"/>
      <c r="N32" s="414"/>
      <c r="O32" s="414"/>
      <c r="P32" s="414"/>
      <c r="Q32" s="414"/>
      <c r="R32" s="414"/>
      <c r="S32" s="414"/>
      <c r="T32" s="414"/>
      <c r="U32" s="414"/>
      <c r="V32" s="414"/>
      <c r="W32" s="414"/>
      <c r="X32" s="414"/>
      <c r="Y32" s="414"/>
      <c r="Z32" s="414"/>
      <c r="AA32" s="414"/>
      <c r="AB32" s="414"/>
      <c r="AC32" s="414"/>
      <c r="AD32" s="414"/>
      <c r="AE32" s="414"/>
      <c r="AF32" s="414"/>
      <c r="AG32" s="415"/>
    </row>
    <row r="33" spans="1:34" ht="15.75" thickBot="1" x14ac:dyDescent="0.3">
      <c r="A33" s="411"/>
      <c r="B33" s="417">
        <v>1</v>
      </c>
      <c r="C33" s="418">
        <v>2</v>
      </c>
      <c r="D33" s="418">
        <v>3</v>
      </c>
      <c r="E33" s="418">
        <v>4</v>
      </c>
      <c r="F33" s="418">
        <v>5</v>
      </c>
      <c r="G33" s="418">
        <v>6</v>
      </c>
      <c r="H33" s="418">
        <v>7</v>
      </c>
      <c r="I33" s="418">
        <v>8</v>
      </c>
      <c r="J33" s="418">
        <v>9</v>
      </c>
      <c r="K33" s="418">
        <v>10</v>
      </c>
      <c r="L33" s="418">
        <v>11</v>
      </c>
      <c r="M33" s="418">
        <v>12</v>
      </c>
      <c r="N33" s="418">
        <v>13</v>
      </c>
      <c r="O33" s="418">
        <v>14</v>
      </c>
      <c r="P33" s="418">
        <v>15</v>
      </c>
      <c r="Q33" s="418">
        <v>16</v>
      </c>
      <c r="R33" s="418">
        <v>17</v>
      </c>
      <c r="S33" s="418">
        <v>18</v>
      </c>
      <c r="T33" s="418">
        <v>19</v>
      </c>
      <c r="U33" s="418">
        <v>20</v>
      </c>
      <c r="V33" s="418">
        <v>21</v>
      </c>
      <c r="W33" s="418">
        <v>22</v>
      </c>
      <c r="X33" s="418">
        <v>23</v>
      </c>
      <c r="Y33" s="418">
        <v>24</v>
      </c>
      <c r="Z33" s="418">
        <v>25</v>
      </c>
      <c r="AA33" s="418">
        <v>26</v>
      </c>
      <c r="AB33" s="418">
        <v>27</v>
      </c>
      <c r="AC33" s="418">
        <v>28</v>
      </c>
      <c r="AD33" s="418">
        <v>29</v>
      </c>
      <c r="AE33" s="418">
        <v>30</v>
      </c>
      <c r="AF33" s="419">
        <v>0</v>
      </c>
      <c r="AG33" s="416" t="s">
        <v>72</v>
      </c>
    </row>
    <row r="34" spans="1:34" s="114" customFormat="1" ht="15.75" thickBot="1" x14ac:dyDescent="0.3">
      <c r="A34" s="674" t="s">
        <v>181</v>
      </c>
      <c r="B34" s="671" t="e">
        <v>#DIV/0!</v>
      </c>
      <c r="C34" s="672" t="e">
        <v>#DIV/0!</v>
      </c>
      <c r="D34" s="672" t="e">
        <v>#DIV/0!</v>
      </c>
      <c r="E34" s="672" t="e">
        <v>#DIV/0!</v>
      </c>
      <c r="F34" s="672" t="e">
        <v>#DIV/0!</v>
      </c>
      <c r="G34" s="672">
        <v>9.3115389082462254</v>
      </c>
      <c r="H34" s="672">
        <v>24.578780550343964</v>
      </c>
      <c r="I34" s="672">
        <v>23.008721413721414</v>
      </c>
      <c r="J34" s="672">
        <v>20.789155769230771</v>
      </c>
      <c r="K34" s="672">
        <v>22.35182253711201</v>
      </c>
      <c r="L34" s="672">
        <v>10.939227554179567</v>
      </c>
      <c r="M34" s="672">
        <v>0</v>
      </c>
      <c r="N34" s="672">
        <v>9.8088536585365862</v>
      </c>
      <c r="O34" s="672">
        <v>22.136169806251306</v>
      </c>
      <c r="P34" s="672">
        <v>21.768511627906975</v>
      </c>
      <c r="Q34" s="672">
        <v>23.532730627705632</v>
      </c>
      <c r="R34" s="672" t="e">
        <v>#DIV/0!</v>
      </c>
      <c r="S34" s="672" t="e">
        <v>#DIV/0!</v>
      </c>
      <c r="T34" s="672" t="e">
        <v>#DIV/0!</v>
      </c>
      <c r="U34" s="672" t="e">
        <v>#DIV/0!</v>
      </c>
      <c r="V34" s="672" t="e">
        <v>#DIV/0!</v>
      </c>
      <c r="W34" s="672" t="e">
        <v>#DIV/0!</v>
      </c>
      <c r="X34" s="672" t="e">
        <v>#DIV/0!</v>
      </c>
      <c r="Y34" s="672" t="e">
        <v>#DIV/0!</v>
      </c>
      <c r="Z34" s="672" t="e">
        <v>#DIV/0!</v>
      </c>
      <c r="AA34" s="672" t="e">
        <v>#DIV/0!</v>
      </c>
      <c r="AB34" s="672" t="e">
        <v>#DIV/0!</v>
      </c>
      <c r="AC34" s="672" t="e">
        <v>#DIV/0!</v>
      </c>
      <c r="AD34" s="672" t="e">
        <v>#DIV/0!</v>
      </c>
      <c r="AE34" s="672" t="e">
        <v>#DIV/0!</v>
      </c>
      <c r="AF34" s="672" t="e">
        <v>#DIV/0!</v>
      </c>
      <c r="AG34" s="673" t="e">
        <v>#DIV/0!</v>
      </c>
      <c r="AH34"/>
    </row>
    <row r="35" spans="1:34" s="167" customFormat="1" ht="15.75" thickBot="1" x14ac:dyDescent="0.3">
      <c r="A35" s="169" t="s">
        <v>186</v>
      </c>
      <c r="B35" s="170" t="e">
        <f>B34/60</f>
        <v>#DIV/0!</v>
      </c>
      <c r="C35" s="170" t="e">
        <f t="shared" ref="C35:AE35" si="0">C34/60</f>
        <v>#DIV/0!</v>
      </c>
      <c r="D35" s="170" t="e">
        <f t="shared" si="0"/>
        <v>#DIV/0!</v>
      </c>
      <c r="E35" s="170" t="e">
        <f t="shared" si="0"/>
        <v>#DIV/0!</v>
      </c>
      <c r="F35" s="170" t="e">
        <f t="shared" si="0"/>
        <v>#DIV/0!</v>
      </c>
      <c r="G35" s="170">
        <f t="shared" si="0"/>
        <v>0.15519231513743709</v>
      </c>
      <c r="H35" s="170">
        <f t="shared" si="0"/>
        <v>0.40964634250573273</v>
      </c>
      <c r="I35" s="170">
        <f t="shared" si="0"/>
        <v>0.38347869022869024</v>
      </c>
      <c r="J35" s="170">
        <f t="shared" si="0"/>
        <v>0.34648592948717949</v>
      </c>
      <c r="K35" s="170">
        <f t="shared" si="0"/>
        <v>0.37253037561853353</v>
      </c>
      <c r="L35" s="170">
        <f t="shared" si="0"/>
        <v>0.18232045923632612</v>
      </c>
      <c r="M35" s="170">
        <f t="shared" si="0"/>
        <v>0</v>
      </c>
      <c r="N35" s="170">
        <f t="shared" si="0"/>
        <v>0.16348089430894311</v>
      </c>
      <c r="O35" s="170">
        <f t="shared" si="0"/>
        <v>0.36893616343752178</v>
      </c>
      <c r="P35" s="170">
        <f t="shared" si="0"/>
        <v>0.36280852713178291</v>
      </c>
      <c r="Q35" s="170">
        <f t="shared" si="0"/>
        <v>0.39221217712842721</v>
      </c>
      <c r="R35" s="170" t="e">
        <f t="shared" si="0"/>
        <v>#DIV/0!</v>
      </c>
      <c r="S35" s="170" t="e">
        <f t="shared" si="0"/>
        <v>#DIV/0!</v>
      </c>
      <c r="T35" s="170" t="e">
        <f t="shared" si="0"/>
        <v>#DIV/0!</v>
      </c>
      <c r="U35" s="170" t="e">
        <f t="shared" si="0"/>
        <v>#DIV/0!</v>
      </c>
      <c r="V35" s="170" t="e">
        <f t="shared" si="0"/>
        <v>#DIV/0!</v>
      </c>
      <c r="W35" s="170" t="e">
        <f t="shared" si="0"/>
        <v>#DIV/0!</v>
      </c>
      <c r="X35" s="170" t="e">
        <f t="shared" si="0"/>
        <v>#DIV/0!</v>
      </c>
      <c r="Y35" s="170" t="e">
        <f t="shared" si="0"/>
        <v>#DIV/0!</v>
      </c>
      <c r="Z35" s="170" t="e">
        <f t="shared" si="0"/>
        <v>#DIV/0!</v>
      </c>
      <c r="AA35" s="170" t="e">
        <f t="shared" si="0"/>
        <v>#DIV/0!</v>
      </c>
      <c r="AB35" s="170" t="e">
        <f t="shared" si="0"/>
        <v>#DIV/0!</v>
      </c>
      <c r="AC35" s="170" t="e">
        <f t="shared" si="0"/>
        <v>#DIV/0!</v>
      </c>
      <c r="AD35" s="170" t="e">
        <f t="shared" si="0"/>
        <v>#DIV/0!</v>
      </c>
      <c r="AE35" s="170" t="e">
        <f t="shared" si="0"/>
        <v>#DIV/0!</v>
      </c>
      <c r="AF35" s="171"/>
      <c r="AG35" s="168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5" x14ac:dyDescent="0.25"/>
  <cols>
    <col min="1" max="1" width="0.42578125" customWidth="1"/>
    <col min="2" max="2" width="35.7109375" bestFit="1" customWidth="1"/>
    <col min="3" max="3" width="12.28515625" style="70" customWidth="1"/>
    <col min="4" max="4" width="18" customWidth="1"/>
    <col min="5" max="5" width="18.140625" bestFit="1" customWidth="1"/>
    <col min="6" max="6" width="16.28515625" bestFit="1" customWidth="1"/>
    <col min="7" max="7" width="12.28515625" customWidth="1"/>
    <col min="8" max="8" width="4.7109375" customWidth="1"/>
    <col min="9" max="9" width="35.7109375" bestFit="1" customWidth="1"/>
    <col min="11" max="12" width="8.5703125" customWidth="1"/>
    <col min="13" max="14" width="9.42578125" customWidth="1"/>
    <col min="15" max="16" width="9.140625" customWidth="1"/>
    <col min="17" max="18" width="8.5703125" customWidth="1"/>
    <col min="19" max="19" width="9.85546875" customWidth="1"/>
    <col min="20" max="20" width="9.42578125" customWidth="1"/>
  </cols>
  <sheetData>
    <row r="1" spans="2:19" ht="18" customHeight="1" thickBot="1" x14ac:dyDescent="0.35">
      <c r="I1" s="854" t="s">
        <v>159</v>
      </c>
      <c r="J1" s="854"/>
      <c r="K1" s="854"/>
      <c r="L1" s="854"/>
      <c r="M1" s="854"/>
      <c r="N1" s="854"/>
      <c r="O1" s="854"/>
      <c r="P1" s="854"/>
      <c r="Q1" s="854"/>
      <c r="R1" s="854"/>
    </row>
    <row r="2" spans="2:19" ht="43.5" customHeight="1" thickBot="1" x14ac:dyDescent="0.3">
      <c r="B2" s="849" t="s">
        <v>33</v>
      </c>
      <c r="C2" s="163" t="s">
        <v>12</v>
      </c>
      <c r="D2" s="142" t="s">
        <v>14</v>
      </c>
      <c r="E2" s="143" t="s">
        <v>35</v>
      </c>
      <c r="F2" s="140" t="s">
        <v>18</v>
      </c>
      <c r="G2" s="138" t="s">
        <v>13</v>
      </c>
      <c r="H2" s="30"/>
      <c r="I2" s="849" t="s">
        <v>32</v>
      </c>
      <c r="J2" s="863" t="s">
        <v>12</v>
      </c>
      <c r="K2" s="865" t="s">
        <v>14</v>
      </c>
      <c r="L2" s="866"/>
      <c r="M2" s="867" t="s">
        <v>34</v>
      </c>
      <c r="N2" s="868"/>
      <c r="O2" s="869" t="s">
        <v>36</v>
      </c>
      <c r="P2" s="870"/>
      <c r="Q2" s="861" t="s">
        <v>13</v>
      </c>
      <c r="R2" s="862"/>
    </row>
    <row r="3" spans="2:19" ht="15.75" thickBot="1" x14ac:dyDescent="0.3">
      <c r="B3" s="850"/>
      <c r="C3" s="139"/>
      <c r="D3" s="150" t="s">
        <v>11</v>
      </c>
      <c r="E3" s="151" t="s">
        <v>11</v>
      </c>
      <c r="F3" s="48" t="s">
        <v>11</v>
      </c>
      <c r="G3" s="49" t="s">
        <v>11</v>
      </c>
      <c r="H3" s="30"/>
      <c r="I3" s="850"/>
      <c r="J3" s="864"/>
      <c r="K3" s="129" t="s">
        <v>10</v>
      </c>
      <c r="L3" s="130" t="s">
        <v>11</v>
      </c>
      <c r="M3" s="131" t="s">
        <v>10</v>
      </c>
      <c r="N3" s="132" t="s">
        <v>11</v>
      </c>
      <c r="O3" s="133" t="s">
        <v>10</v>
      </c>
      <c r="P3" s="134" t="s">
        <v>11</v>
      </c>
      <c r="Q3" s="135" t="s">
        <v>10</v>
      </c>
      <c r="R3" s="136" t="s">
        <v>11</v>
      </c>
    </row>
    <row r="4" spans="2:19" thickBot="1" x14ac:dyDescent="0.3">
      <c r="B4" s="3" t="s">
        <v>146</v>
      </c>
      <c r="C4" s="2">
        <v>1.24</v>
      </c>
      <c r="D4" s="46">
        <v>440</v>
      </c>
      <c r="E4" s="152">
        <f>C23+D23+E23+F23</f>
        <v>0</v>
      </c>
      <c r="F4" s="154">
        <f>+C14+D14+E14+F14</f>
        <v>0</v>
      </c>
      <c r="G4" s="154">
        <f>(D4+F4)-E4</f>
        <v>440</v>
      </c>
      <c r="H4" s="30"/>
      <c r="I4" s="3" t="s">
        <v>146</v>
      </c>
      <c r="J4" s="2">
        <v>1.24</v>
      </c>
      <c r="K4" s="46">
        <v>184.21052631578948</v>
      </c>
      <c r="L4" s="46">
        <f>K4*J4</f>
        <v>228.42105263157896</v>
      </c>
      <c r="M4" s="93">
        <f>GETPIVOTDATA(" CONSUMO (L) HCL (10%)",'CONSUMO QUÍMICA - CAUDALES RO'!$A3)</f>
        <v>0</v>
      </c>
      <c r="N4" s="126" t="e">
        <f>SUM(#REF!)</f>
        <v>#REF!</v>
      </c>
      <c r="O4" s="93">
        <f>J14+L14+N14</f>
        <v>360</v>
      </c>
      <c r="P4" s="126"/>
      <c r="Q4" s="50">
        <f>(K4+O4)-M4</f>
        <v>544.21052631578948</v>
      </c>
      <c r="R4" s="51">
        <f>Q4*J4</f>
        <v>674.82105263157894</v>
      </c>
    </row>
    <row r="5" spans="2:19" ht="15.75" customHeight="1" thickBot="1" x14ac:dyDescent="0.3">
      <c r="B5" s="5" t="s">
        <v>147</v>
      </c>
      <c r="C5" s="2">
        <v>1.29</v>
      </c>
      <c r="D5" s="46">
        <v>170</v>
      </c>
      <c r="E5" s="152">
        <f>C24+D24+E24+F24</f>
        <v>0</v>
      </c>
      <c r="F5" s="152">
        <f>+C15+D15+E15+F15</f>
        <v>700</v>
      </c>
      <c r="G5" s="152">
        <f>(D5+F5)-E5</f>
        <v>870</v>
      </c>
      <c r="H5" s="30"/>
      <c r="I5" s="5" t="s">
        <v>147</v>
      </c>
      <c r="J5" s="2">
        <v>1.29</v>
      </c>
      <c r="K5" s="46">
        <v>561.40350877192986</v>
      </c>
      <c r="L5" s="46">
        <f>K5*J5</f>
        <v>724.21052631578959</v>
      </c>
      <c r="M5" s="93">
        <f>GETPIVOTDATA(" CONSUMO (L) KURIVERTER IK-220 (Biocida)",'CONSUMO QUÍMICA - CAUDALES RO'!$A$3)</f>
        <v>0</v>
      </c>
      <c r="N5" s="127" t="e">
        <f>SUM(#REF!)</f>
        <v>#REF!</v>
      </c>
      <c r="O5" s="95">
        <f>J15+L15+N15</f>
        <v>0</v>
      </c>
      <c r="P5" s="127"/>
      <c r="Q5" s="20">
        <f>(K5+O5)-M5</f>
        <v>561.40350877192986</v>
      </c>
      <c r="R5" s="4">
        <f>Q5*J5</f>
        <v>724.21052631578959</v>
      </c>
    </row>
    <row r="6" spans="2:19" thickBot="1" x14ac:dyDescent="0.3">
      <c r="B6" s="5" t="s">
        <v>148</v>
      </c>
      <c r="C6" s="2">
        <v>1.2</v>
      </c>
      <c r="D6" s="46">
        <v>83</v>
      </c>
      <c r="E6" s="152">
        <f>C25+D25+E25+F25</f>
        <v>0</v>
      </c>
      <c r="F6" s="152">
        <f>+C16+D16+E16+F16</f>
        <v>0</v>
      </c>
      <c r="G6" s="152">
        <f>(D6+F6)-E6</f>
        <v>83</v>
      </c>
      <c r="H6" s="30"/>
      <c r="I6" s="5" t="s">
        <v>148</v>
      </c>
      <c r="J6" s="2">
        <v>1.2</v>
      </c>
      <c r="K6" s="46">
        <v>929.82456140350882</v>
      </c>
      <c r="L6" s="46">
        <f>K6*J6</f>
        <v>1115.7894736842106</v>
      </c>
      <c r="M6" s="93">
        <f>GETPIVOTDATA("CONSUMO (L) VITEC 7000 (Antiincrustante) ",'CONSUMO QUÍMICA - CAUDALES RO'!$A$3)</f>
        <v>0</v>
      </c>
      <c r="N6" s="127" t="e">
        <f>SUM(#REF!)</f>
        <v>#REF!</v>
      </c>
      <c r="O6" s="95">
        <f>J16+L16+N16</f>
        <v>580</v>
      </c>
      <c r="P6" s="127"/>
      <c r="Q6" s="20">
        <f>(K6+O6)-M6</f>
        <v>1509.8245614035088</v>
      </c>
      <c r="R6" s="4">
        <f>Q6*J6</f>
        <v>1811.7894736842106</v>
      </c>
    </row>
    <row r="7" spans="2:19" ht="15.75" thickBot="1" x14ac:dyDescent="0.3">
      <c r="B7" s="5" t="s">
        <v>149</v>
      </c>
      <c r="C7" s="2">
        <v>1.2</v>
      </c>
      <c r="D7" s="46">
        <v>50</v>
      </c>
      <c r="E7" s="152">
        <f>C26+D26+E26+F26</f>
        <v>0</v>
      </c>
      <c r="F7" s="152">
        <f>+C17+D17+E17+F17</f>
        <v>0</v>
      </c>
      <c r="G7" s="152">
        <f>(D7+F7)-E7</f>
        <v>50</v>
      </c>
      <c r="H7" s="30"/>
      <c r="I7" s="5" t="s">
        <v>149</v>
      </c>
      <c r="J7" s="2">
        <v>1.2</v>
      </c>
      <c r="K7" s="46">
        <v>0</v>
      </c>
      <c r="L7" s="46">
        <f>K7*J7</f>
        <v>0</v>
      </c>
      <c r="M7" s="93">
        <f>GETPIVOTDATA("CONSUMO (L) Hidróxido de Sodio (NaOH) ",'CONSUMO QUÍMICA - CAUDALES RO'!$A$3)</f>
        <v>0</v>
      </c>
      <c r="N7" s="127" t="e">
        <f>SUM(#REF!)</f>
        <v>#REF!</v>
      </c>
      <c r="O7" s="95">
        <f>J17+L17+N17</f>
        <v>0</v>
      </c>
      <c r="P7" s="127"/>
      <c r="Q7" s="20">
        <f>(K7+O7)-M7</f>
        <v>0</v>
      </c>
      <c r="R7" s="4">
        <f>Q7*J7</f>
        <v>0</v>
      </c>
    </row>
    <row r="8" spans="2:19" thickBot="1" x14ac:dyDescent="0.3">
      <c r="B8" s="7" t="s">
        <v>150</v>
      </c>
      <c r="C8" s="29">
        <v>1.48</v>
      </c>
      <c r="D8" s="47">
        <v>60</v>
      </c>
      <c r="E8" s="153">
        <f>C27+D27+E27+F27</f>
        <v>25</v>
      </c>
      <c r="F8" s="153">
        <f>+C18+D18+E18+F18</f>
        <v>0</v>
      </c>
      <c r="G8" s="153">
        <f>(D8+F8)-E8</f>
        <v>35</v>
      </c>
      <c r="H8" s="30"/>
      <c r="I8" s="7" t="s">
        <v>150</v>
      </c>
      <c r="J8" s="29">
        <v>2.5000000000000001E-3</v>
      </c>
      <c r="K8" s="47">
        <v>245.61403508771932</v>
      </c>
      <c r="L8" s="47">
        <f>K8*J8</f>
        <v>0.61403508771929827</v>
      </c>
      <c r="M8" s="93">
        <f>GETPIVOTDATA("CONSUMO (L) Bisulfito de sodio ",'CONSUMO QUÍMICA - CAUDALES RO'!$A$3)</f>
        <v>0</v>
      </c>
      <c r="N8" s="128" t="e">
        <f>SUM(#REF!)</f>
        <v>#REF!</v>
      </c>
      <c r="O8" s="92">
        <f>J18+L18+N18</f>
        <v>0</v>
      </c>
      <c r="P8" s="128"/>
      <c r="Q8" s="21">
        <f>(K8+O8)-M8</f>
        <v>245.61403508771932</v>
      </c>
      <c r="R8" s="22">
        <f>Q8*J8</f>
        <v>0.61403508771929827</v>
      </c>
    </row>
    <row r="9" spans="2:19" ht="3.75" customHeight="1" x14ac:dyDescent="0.25">
      <c r="B9" s="9"/>
      <c r="C9" s="162">
        <v>2.5000000000000001E-3</v>
      </c>
      <c r="D9" s="9"/>
    </row>
    <row r="10" spans="2:19" ht="16.5" customHeight="1" thickBot="1" x14ac:dyDescent="0.3"/>
    <row r="11" spans="2:19" ht="15.75" customHeight="1" thickBot="1" x14ac:dyDescent="0.3">
      <c r="B11" s="851" t="s">
        <v>167</v>
      </c>
      <c r="C11" s="804" t="s">
        <v>24</v>
      </c>
      <c r="D11" s="805"/>
      <c r="E11" s="805"/>
      <c r="F11" s="806"/>
      <c r="I11" s="851" t="s">
        <v>7</v>
      </c>
      <c r="J11" s="855" t="s">
        <v>158</v>
      </c>
      <c r="K11" s="856"/>
      <c r="L11" s="856"/>
      <c r="M11" s="856"/>
      <c r="N11" s="856"/>
      <c r="O11" s="856"/>
      <c r="P11" s="856"/>
      <c r="Q11" s="856"/>
      <c r="R11" s="856"/>
      <c r="S11" s="857"/>
    </row>
    <row r="12" spans="2:19" ht="18" customHeight="1" x14ac:dyDescent="0.25">
      <c r="B12" s="852"/>
      <c r="C12" s="141">
        <v>45677</v>
      </c>
      <c r="D12" s="147"/>
      <c r="E12" s="147"/>
      <c r="F12" s="155"/>
      <c r="I12" s="852"/>
      <c r="J12" s="858">
        <v>45550</v>
      </c>
      <c r="K12" s="859"/>
      <c r="L12" s="858">
        <v>45559</v>
      </c>
      <c r="M12" s="859"/>
      <c r="N12" s="858"/>
      <c r="O12" s="859"/>
      <c r="P12" s="858"/>
      <c r="Q12" s="859"/>
      <c r="R12" s="860"/>
      <c r="S12" s="859"/>
    </row>
    <row r="13" spans="2:19" ht="15.75" thickBot="1" x14ac:dyDescent="0.3">
      <c r="B13" s="853"/>
      <c r="C13" s="40" t="s">
        <v>165</v>
      </c>
      <c r="D13" s="40" t="s">
        <v>165</v>
      </c>
      <c r="E13" s="40" t="s">
        <v>165</v>
      </c>
      <c r="F13" s="156" t="s">
        <v>165</v>
      </c>
      <c r="I13" s="853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25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157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ht="14.25" x14ac:dyDescent="0.25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158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ht="14.25" x14ac:dyDescent="0.25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158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5" customHeight="1" x14ac:dyDescent="0.25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158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45" customHeight="1" thickBot="1" x14ac:dyDescent="0.3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159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5.75" thickBot="1" x14ac:dyDescent="0.3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75" customHeight="1" thickBot="1" x14ac:dyDescent="0.3">
      <c r="B20" s="846" t="s">
        <v>168</v>
      </c>
      <c r="C20" s="843" t="s">
        <v>166</v>
      </c>
      <c r="D20" s="844"/>
      <c r="E20" s="844"/>
      <c r="F20" s="84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25">
      <c r="B21" s="847"/>
      <c r="C21" s="148">
        <v>45568</v>
      </c>
      <c r="D21" s="149"/>
      <c r="E21" s="149"/>
      <c r="F21" s="160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5.75" thickBot="1" x14ac:dyDescent="0.3">
      <c r="B22" s="848"/>
      <c r="C22" s="146" t="s">
        <v>10</v>
      </c>
      <c r="D22" s="146" t="s">
        <v>10</v>
      </c>
      <c r="E22" s="146" t="s">
        <v>10</v>
      </c>
      <c r="F22" s="161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25">
      <c r="B23" s="3" t="s">
        <v>146</v>
      </c>
      <c r="C23" s="20">
        <v>0</v>
      </c>
      <c r="D23" s="20">
        <v>0</v>
      </c>
      <c r="E23" s="20">
        <v>0</v>
      </c>
      <c r="F23" s="157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25">
      <c r="B24" s="5" t="s">
        <v>147</v>
      </c>
      <c r="C24" s="27">
        <v>0</v>
      </c>
      <c r="D24" s="27">
        <v>0</v>
      </c>
      <c r="E24" s="27">
        <v>0</v>
      </c>
      <c r="F24" s="158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25">
      <c r="A25" s="9"/>
      <c r="B25" s="5" t="s">
        <v>148</v>
      </c>
      <c r="C25" s="27">
        <v>0</v>
      </c>
      <c r="D25" s="27">
        <v>0</v>
      </c>
      <c r="E25" s="27">
        <v>0</v>
      </c>
      <c r="F25" s="158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25">
      <c r="B26" s="5" t="s">
        <v>149</v>
      </c>
      <c r="C26" s="27">
        <v>0</v>
      </c>
      <c r="D26" s="27">
        <v>0</v>
      </c>
      <c r="E26" s="27">
        <v>0</v>
      </c>
      <c r="F26" s="158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5.75" thickBot="1" x14ac:dyDescent="0.3">
      <c r="B27" s="7" t="s">
        <v>150</v>
      </c>
      <c r="C27" s="28">
        <v>25</v>
      </c>
      <c r="D27" s="28">
        <v>0</v>
      </c>
      <c r="E27" s="28">
        <v>0</v>
      </c>
      <c r="F27" s="159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25">
      <c r="B28" s="9" t="s">
        <v>164</v>
      </c>
      <c r="C28" s="16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25">
      <c r="B29" s="9"/>
      <c r="C29" s="16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25">
      <c r="B30" s="9"/>
      <c r="C30" s="16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25">
      <c r="B31" s="9"/>
      <c r="C31" s="162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25">
      <c r="B32" s="9"/>
      <c r="C32" s="162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25">
      <c r="B33" s="9"/>
      <c r="C33" s="162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25">
      <c r="B34" s="9"/>
      <c r="C34" s="162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25">
      <c r="B35" s="9"/>
      <c r="C35" s="16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25">
      <c r="B36" s="9"/>
      <c r="C36" s="162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25">
      <c r="B37" s="9"/>
      <c r="C37" s="162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25">
      <c r="B38" s="9"/>
      <c r="C38" s="16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25">
      <c r="B39" s="9"/>
      <c r="C39" s="16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25">
      <c r="B40" s="9"/>
      <c r="C40" s="16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25">
      <c r="B41" s="9"/>
      <c r="C41" s="16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25">
      <c r="B42" s="9"/>
      <c r="C42" s="16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25">
      <c r="B43" s="9"/>
      <c r="C43" s="16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25">
      <c r="B44" s="9"/>
      <c r="C44" s="16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25">
      <c r="B45" s="9"/>
      <c r="C45" s="16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25">
      <c r="B46" s="9"/>
      <c r="C46" s="16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25">
      <c r="B47" s="9"/>
      <c r="C47" s="16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25">
      <c r="B48" s="9"/>
      <c r="C48" s="16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25">
      <c r="B49" s="9"/>
      <c r="C49" s="16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25">
      <c r="B50" s="9"/>
      <c r="C50" s="16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25">
      <c r="B51" s="9"/>
      <c r="C51" s="16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25">
      <c r="B52" s="9"/>
      <c r="C52" s="16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25">
      <c r="B53" s="9"/>
      <c r="C53" s="16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25">
      <c r="B54" s="9"/>
      <c r="C54" s="162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25">
      <c r="B55" s="9"/>
      <c r="C55" s="16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25">
      <c r="B56" s="9"/>
      <c r="C56" s="162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25">
      <c r="B57" s="9"/>
      <c r="C57" s="16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25">
      <c r="B58" s="9"/>
      <c r="C58" s="16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25">
      <c r="B59" s="9"/>
      <c r="C59" s="162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25">
      <c r="B60" s="9"/>
      <c r="C60" s="16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25">
      <c r="B61" s="9"/>
      <c r="C61" s="16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25">
      <c r="B62" s="9"/>
      <c r="C62" s="16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25">
      <c r="B63" s="9"/>
      <c r="C63" s="162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25">
      <c r="B64" s="9"/>
      <c r="C64" s="162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25">
      <c r="B65" s="9"/>
      <c r="C65" s="162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25">
      <c r="B66" s="9"/>
      <c r="C66" s="162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25">
      <c r="B67" s="9"/>
      <c r="C67" s="162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25">
      <c r="B68" s="9"/>
      <c r="C68" s="162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25">
      <c r="B69" s="9"/>
      <c r="C69" s="162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25">
      <c r="B70" s="9"/>
      <c r="C70" s="16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25">
      <c r="B71" s="9"/>
      <c r="C71" s="162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25">
      <c r="B72" s="9"/>
      <c r="C72" s="162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25">
      <c r="B73" s="9"/>
      <c r="C73" s="162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25">
      <c r="B74" s="9"/>
      <c r="C74" s="162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25">
      <c r="B75" s="9"/>
      <c r="C75" s="162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25">
      <c r="B76" s="9"/>
      <c r="C76" s="162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25">
      <c r="B77" s="9"/>
      <c r="C77" s="16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25">
      <c r="B78" s="9"/>
      <c r="C78" s="162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25">
      <c r="B79" s="9"/>
      <c r="C79" s="162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25">
      <c r="B80" s="9"/>
      <c r="C80" s="162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25">
      <c r="B81" s="9"/>
      <c r="C81" s="162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25">
      <c r="B82" s="9"/>
      <c r="C82" s="162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25">
      <c r="B83" s="9"/>
      <c r="C83" s="16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25">
      <c r="B84" s="9"/>
      <c r="C84" s="16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25">
      <c r="B85" s="9"/>
      <c r="C85" s="16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25">
      <c r="B86" s="9"/>
      <c r="C86" s="16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25">
      <c r="B87" s="9"/>
      <c r="C87" s="16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25">
      <c r="B88" s="9"/>
      <c r="C88" s="162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25">
      <c r="B89" s="9"/>
      <c r="C89" s="162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25">
      <c r="B90" s="9"/>
      <c r="C90" s="162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25">
      <c r="B91" s="9"/>
      <c r="C91" s="162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25">
      <c r="B92" s="9"/>
      <c r="C92" s="162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25">
      <c r="B93" s="9"/>
      <c r="C93" s="16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25">
      <c r="B94" s="9"/>
      <c r="C94" s="162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25">
      <c r="B95" s="9"/>
      <c r="C95" s="162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25">
      <c r="B96" s="9"/>
      <c r="C96" s="162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25">
      <c r="B97" s="9"/>
      <c r="C97" s="162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25">
      <c r="B98" s="9"/>
      <c r="C98" s="162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25">
      <c r="B99" s="9"/>
      <c r="C99" s="162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25">
      <c r="B100" s="9"/>
      <c r="C100" s="16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25">
      <c r="B101" s="9"/>
      <c r="C101" s="16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25">
      <c r="B102" s="9"/>
      <c r="C102" s="16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25">
      <c r="B103" s="9"/>
      <c r="C103" s="16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25">
      <c r="B104" s="9"/>
      <c r="C104" s="16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25">
      <c r="B105" s="9"/>
      <c r="C105" s="16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25">
      <c r="B106" s="9"/>
      <c r="C106" s="16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25">
      <c r="B107" s="9"/>
      <c r="C107" s="16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25">
      <c r="B108" s="9"/>
      <c r="C108" s="16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25">
      <c r="B109" s="9"/>
      <c r="C109" s="162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25">
      <c r="B110" s="9"/>
      <c r="C110" s="162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25">
      <c r="B111" s="9"/>
      <c r="C111" s="162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25">
      <c r="B112" s="9"/>
      <c r="C112" s="162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25">
      <c r="B113" s="9"/>
      <c r="C113" s="162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25">
      <c r="B114" s="9"/>
      <c r="C114" s="162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25">
      <c r="B115" s="9"/>
      <c r="C115" s="162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25">
      <c r="B116" s="9"/>
      <c r="C116" s="162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25">
      <c r="B117" s="9"/>
      <c r="C117" s="162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25">
      <c r="B118" s="9"/>
      <c r="C118" s="162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25">
      <c r="B119" s="9"/>
      <c r="C119" s="162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25">
      <c r="B120" s="9"/>
      <c r="C120" s="162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25">
      <c r="B121" s="9"/>
      <c r="C121" s="162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25">
      <c r="B122" s="9"/>
      <c r="C122" s="162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25">
      <c r="B123" s="9"/>
      <c r="C123" s="162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25">
      <c r="B124" s="9"/>
      <c r="C124" s="162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25">
      <c r="B125" s="9"/>
      <c r="C125" s="162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25">
      <c r="B126" s="9"/>
      <c r="C126" s="162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25">
      <c r="B127" s="9"/>
      <c r="C127" s="162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25">
      <c r="B128" s="9"/>
      <c r="C128" s="162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25">
      <c r="B129" s="9"/>
      <c r="C129" s="162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25">
      <c r="B130" s="9"/>
      <c r="C130" s="162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25">
      <c r="B131" s="9"/>
      <c r="C131" s="162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25">
      <c r="B132" s="9"/>
      <c r="C132" s="162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25">
      <c r="B133" s="9"/>
      <c r="C133" s="16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25">
      <c r="B134" s="9"/>
      <c r="C134" s="162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25">
      <c r="B135" s="9"/>
      <c r="C135" s="16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25">
      <c r="B136" s="9"/>
      <c r="C136" s="162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25">
      <c r="B137" s="9"/>
      <c r="C137" s="162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25">
      <c r="B138" s="9"/>
      <c r="C138" s="162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25">
      <c r="B139" s="9"/>
      <c r="C139" s="162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25">
      <c r="B140" s="9"/>
      <c r="C140" s="16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25">
      <c r="B141" s="9"/>
      <c r="C141" s="162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25">
      <c r="B142" s="9"/>
      <c r="C142" s="162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25">
      <c r="B143" s="9"/>
      <c r="C143" s="162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25">
      <c r="B144" s="9"/>
      <c r="C144" s="162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25">
      <c r="B145" s="9"/>
      <c r="C145" s="16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25">
      <c r="B146" s="9"/>
      <c r="C146" s="162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25">
      <c r="B147" s="9"/>
      <c r="C147" s="16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25">
      <c r="B148" s="9"/>
      <c r="C148" s="162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25">
      <c r="B149" s="9"/>
      <c r="C149" s="16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25">
      <c r="B150" s="9"/>
      <c r="C150" s="162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25">
      <c r="B151" s="9"/>
      <c r="C151" s="162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25">
      <c r="B152" s="9"/>
      <c r="C152" s="162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25">
      <c r="B153" s="9"/>
      <c r="C153" s="162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25">
      <c r="B154" s="9"/>
      <c r="C154" s="162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25">
      <c r="B155" s="9"/>
      <c r="C155" s="162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25">
      <c r="B156" s="9"/>
      <c r="C156" s="162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25">
      <c r="B157" s="9"/>
      <c r="C157" s="16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25">
      <c r="B158" s="9"/>
      <c r="C158" s="162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25">
      <c r="B159" s="9"/>
      <c r="C159" s="162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25">
      <c r="B160" s="9"/>
      <c r="C160" s="162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25">
      <c r="B161" s="9"/>
      <c r="C161" s="162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25">
      <c r="B162" s="9"/>
      <c r="C162" s="162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25">
      <c r="B163" s="9"/>
      <c r="C163" s="162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25">
      <c r="B164" s="9"/>
      <c r="C164" s="162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25">
      <c r="B165" s="9"/>
      <c r="C165" s="16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25">
      <c r="B166" s="9"/>
      <c r="C166" s="162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25">
      <c r="B167" s="9"/>
      <c r="C167" s="16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25">
      <c r="B168" s="9"/>
      <c r="C168" s="162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25">
      <c r="B169" s="9"/>
      <c r="C169" s="162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25">
      <c r="B170" s="9"/>
      <c r="C170" s="162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25">
      <c r="B171" s="9"/>
      <c r="C171" s="162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25">
      <c r="B172" s="9"/>
      <c r="C172" s="162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25">
      <c r="B173" s="9"/>
      <c r="C173" s="162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25">
      <c r="B174" s="9"/>
      <c r="C174" s="162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25">
      <c r="B175" s="9"/>
      <c r="C175" s="162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25">
      <c r="B176" s="9"/>
      <c r="C176" s="162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25">
      <c r="B177" s="9"/>
      <c r="C177" s="162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25">
      <c r="B178" s="9"/>
      <c r="C178" s="162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25">
      <c r="B179" s="9"/>
      <c r="C179" s="162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25">
      <c r="B180" s="9"/>
      <c r="C180" s="162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25">
      <c r="B181" s="9"/>
      <c r="C181" s="162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25">
      <c r="B182" s="9"/>
      <c r="C182" s="162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25">
      <c r="B183" s="9"/>
      <c r="C183" s="162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25">
      <c r="B184" s="9"/>
      <c r="C184" s="162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25">
      <c r="B185" s="9"/>
      <c r="C185" s="162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25">
      <c r="B186" s="9"/>
      <c r="C186" s="162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25">
      <c r="B187" s="9"/>
      <c r="C187" s="162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25">
      <c r="B188" s="9"/>
      <c r="C188" s="162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25">
      <c r="B189" s="9"/>
      <c r="C189" s="162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25">
      <c r="B190" s="9"/>
      <c r="C190" s="162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25">
      <c r="B191" s="9"/>
      <c r="C191" s="162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25">
      <c r="B192" s="9"/>
      <c r="C192" s="162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25">
      <c r="B193" s="9"/>
      <c r="C193" s="162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25">
      <c r="B194" s="9"/>
      <c r="C194" s="162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25">
      <c r="B195" s="9"/>
      <c r="C195" s="162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25">
      <c r="B196" s="9"/>
      <c r="C196" s="162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25">
      <c r="B197" s="9"/>
      <c r="C197" s="162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25">
      <c r="B198" s="9"/>
      <c r="C198" s="162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25">
      <c r="B199" s="9"/>
      <c r="C199" s="162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25">
      <c r="B200" s="9"/>
      <c r="C200" s="162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25">
      <c r="B201" s="9"/>
      <c r="C201" s="162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25">
      <c r="B202" s="9"/>
      <c r="C202" s="162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25">
      <c r="B203" s="9"/>
      <c r="C203" s="162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25">
      <c r="B204" s="9"/>
      <c r="C204" s="162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25">
      <c r="B205" s="9"/>
      <c r="C205" s="162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25">
      <c r="B206" s="9"/>
      <c r="C206" s="162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25">
      <c r="B207" s="9"/>
      <c r="C207" s="162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25">
      <c r="B208" s="9"/>
      <c r="C208" s="162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25">
      <c r="B209" s="9"/>
      <c r="C209" s="162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25">
      <c r="B210" s="9"/>
      <c r="C210" s="162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25">
      <c r="B211" s="9"/>
      <c r="C211" s="162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25">
      <c r="B212" s="9"/>
      <c r="C212" s="162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25">
      <c r="B213" s="9"/>
      <c r="C213" s="162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25">
      <c r="B214" s="9"/>
      <c r="C214" s="162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25">
      <c r="B215" s="9"/>
      <c r="C215" s="162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25">
      <c r="B216" s="9"/>
      <c r="C216" s="162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25">
      <c r="B217" s="9"/>
      <c r="C217" s="162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25">
      <c r="B218" s="9"/>
      <c r="C218" s="162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25">
      <c r="B219" s="9"/>
      <c r="C219" s="162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25">
      <c r="B220" s="9"/>
      <c r="C220" s="162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25">
      <c r="B221" s="9"/>
      <c r="C221" s="162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25">
      <c r="B222" s="9"/>
      <c r="C222" s="162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25">
      <c r="B223" s="9"/>
      <c r="C223" s="162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25">
      <c r="B224" s="9"/>
      <c r="C224" s="162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25">
      <c r="B225" s="9"/>
      <c r="C225" s="162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25">
      <c r="B226" s="9"/>
      <c r="C226" s="162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25">
      <c r="B227" s="9"/>
      <c r="C227" s="162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25">
      <c r="B228" s="9"/>
      <c r="C228" s="162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25">
      <c r="B229" s="9"/>
      <c r="C229" s="162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25">
      <c r="B230" s="9"/>
      <c r="C230" s="162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25">
      <c r="B231" s="9"/>
      <c r="C231" s="162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25">
      <c r="B232" s="9"/>
      <c r="C232" s="162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25">
      <c r="B233" s="9"/>
      <c r="C233" s="162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25">
      <c r="B234" s="9"/>
      <c r="C234" s="162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25">
      <c r="B235" s="9"/>
      <c r="C235" s="162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25">
      <c r="B236" s="9"/>
      <c r="C236" s="162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25">
      <c r="B237" s="9"/>
      <c r="C237" s="162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25">
      <c r="B238" s="9"/>
      <c r="C238" s="162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25">
      <c r="B239" s="9"/>
      <c r="C239" s="162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25">
      <c r="B240" s="9"/>
      <c r="C240" s="162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25">
      <c r="B241" s="9"/>
      <c r="C241" s="162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25">
      <c r="B242" s="9"/>
      <c r="C242" s="162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25">
      <c r="B243" s="9"/>
      <c r="C243" s="162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25">
      <c r="B244" s="9"/>
      <c r="C244" s="162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25">
      <c r="B245" s="9"/>
      <c r="C245" s="162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25">
      <c r="B246" s="9"/>
      <c r="C246" s="162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25">
      <c r="B247" s="9"/>
      <c r="C247" s="162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25">
      <c r="B248" s="9"/>
      <c r="C248" s="162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25">
      <c r="B249" s="9"/>
      <c r="C249" s="162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25">
      <c r="B250" s="9"/>
      <c r="C250" s="162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25">
      <c r="B251" s="9"/>
      <c r="C251" s="162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25">
      <c r="B252" s="9"/>
      <c r="C252" s="162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25">
      <c r="B253" s="9"/>
      <c r="C253" s="162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25">
      <c r="B254" s="9"/>
      <c r="C254" s="162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25">
      <c r="B255" s="9"/>
      <c r="C255" s="162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25">
      <c r="B256" s="9"/>
      <c r="C256" s="162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25">
      <c r="B257" s="9"/>
      <c r="C257" s="162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25">
      <c r="B258" s="9"/>
      <c r="C258" s="162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25">
      <c r="B259" s="9"/>
      <c r="C259" s="162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25">
      <c r="B260" s="9"/>
      <c r="C260" s="162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25">
      <c r="B261" s="9"/>
      <c r="C261" s="162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25">
      <c r="B262" s="9"/>
      <c r="C262" s="162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25">
      <c r="B263" s="9"/>
      <c r="C263" s="162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25">
      <c r="B264" s="9"/>
      <c r="C264" s="162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25">
      <c r="B265" s="9"/>
      <c r="C265" s="162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25">
      <c r="B266" s="9"/>
      <c r="C266" s="162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25">
      <c r="B267" s="9"/>
      <c r="C267" s="162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25">
      <c r="B268" s="9"/>
      <c r="C268" s="162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25">
      <c r="B269" s="9"/>
      <c r="C269" s="162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25">
      <c r="B270" s="9"/>
      <c r="C270" s="162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25">
      <c r="B271" s="9"/>
      <c r="C271" s="162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25">
      <c r="B272" s="9"/>
      <c r="C272" s="162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25">
      <c r="B273" s="9"/>
      <c r="C273" s="162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25">
      <c r="B274" s="9"/>
      <c r="C274" s="162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25">
      <c r="B275" s="9"/>
      <c r="C275" s="162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25">
      <c r="B276" s="9"/>
      <c r="C276" s="162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25">
      <c r="B277" s="9"/>
      <c r="C277" s="162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25">
      <c r="B278" s="9"/>
      <c r="C278" s="162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25">
      <c r="B279" s="9"/>
      <c r="C279" s="162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25">
      <c r="B280" s="9"/>
      <c r="C280" s="162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25">
      <c r="B281" s="9"/>
      <c r="C281" s="162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25">
      <c r="B282" s="9"/>
      <c r="C282" s="162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25">
      <c r="B283" s="9"/>
      <c r="C283" s="162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25">
      <c r="B284" s="9"/>
      <c r="C284" s="162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25">
      <c r="B285" s="9"/>
      <c r="C285" s="162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25">
      <c r="B286" s="9"/>
      <c r="C286" s="162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25">
      <c r="B287" s="9"/>
      <c r="C287" s="162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25">
      <c r="B288" s="9"/>
      <c r="C288" s="162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25">
      <c r="B289" s="9"/>
      <c r="C289" s="162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25">
      <c r="B290" s="9"/>
      <c r="C290" s="162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25">
      <c r="B291" s="9"/>
      <c r="C291" s="162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25">
      <c r="B292" s="9"/>
      <c r="C292" s="162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25">
      <c r="B293" s="9"/>
      <c r="C293" s="162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25">
      <c r="B294" s="9"/>
      <c r="C294" s="162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25">
      <c r="B295" s="9"/>
      <c r="C295" s="162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25">
      <c r="B296" s="9"/>
      <c r="C296" s="162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25">
      <c r="B297" s="9"/>
      <c r="C297" s="162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25">
      <c r="B298" s="9"/>
      <c r="C298" s="162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25">
      <c r="B299" s="9"/>
      <c r="C299" s="162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25">
      <c r="B300" s="9"/>
      <c r="C300" s="162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25">
      <c r="B301" s="9"/>
      <c r="C301" s="162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25">
      <c r="B302" s="9"/>
      <c r="C302" s="162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25">
      <c r="B303" s="9"/>
      <c r="C303" s="162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25">
      <c r="B304" s="9"/>
      <c r="C304" s="162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25">
      <c r="B305" s="9"/>
      <c r="C305" s="162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25">
      <c r="B306" s="9"/>
      <c r="C306" s="162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25">
      <c r="B307" s="9"/>
      <c r="C307" s="162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25">
      <c r="B308" s="9"/>
      <c r="C308" s="162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25">
      <c r="B309" s="9"/>
      <c r="C309" s="162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25">
      <c r="B310" s="9"/>
      <c r="C310" s="162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25">
      <c r="B311" s="9"/>
      <c r="C311" s="162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25">
      <c r="B312" s="9"/>
      <c r="C312" s="162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25">
      <c r="B313" s="9"/>
      <c r="C313" s="162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25">
      <c r="B314" s="9"/>
      <c r="C314" s="162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25">
      <c r="B315" s="9"/>
      <c r="C315" s="162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25">
      <c r="B316" s="9"/>
      <c r="C316" s="162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25">
      <c r="B317" s="9"/>
      <c r="C317" s="162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25">
      <c r="B318" s="9"/>
      <c r="C318" s="162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25">
      <c r="B319" s="9"/>
      <c r="C319" s="162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25">
      <c r="B320" s="9"/>
      <c r="C320" s="162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25">
      <c r="B321" s="9"/>
      <c r="C321" s="162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25">
      <c r="B322" s="9"/>
      <c r="C322" s="162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25">
      <c r="B323" s="9"/>
      <c r="C323" s="162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25">
      <c r="B324" s="9"/>
      <c r="C324" s="162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25">
      <c r="B325" s="9"/>
      <c r="C325" s="162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25">
      <c r="B326" s="9"/>
      <c r="C326" s="162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25">
      <c r="B327" s="9"/>
      <c r="C327" s="162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25">
      <c r="B328" s="9"/>
      <c r="C328" s="162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25">
      <c r="B329" s="9"/>
      <c r="C329" s="162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25">
      <c r="B330" s="9"/>
      <c r="C330" s="162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25">
      <c r="B331" s="9"/>
      <c r="C331" s="162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25">
      <c r="B332" s="9"/>
      <c r="C332" s="162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25">
      <c r="B333" s="9"/>
      <c r="C333" s="162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25">
      <c r="B334" s="9"/>
      <c r="C334" s="162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25">
      <c r="B335" s="9"/>
      <c r="C335" s="162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25">
      <c r="B336" s="9"/>
      <c r="C336" s="162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25">
      <c r="B337" s="9"/>
      <c r="C337" s="162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25">
      <c r="B338" s="9"/>
      <c r="C338" s="162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25">
      <c r="B339" s="9"/>
      <c r="C339" s="162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25">
      <c r="B340" s="9"/>
      <c r="C340" s="162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25">
      <c r="B341" s="9"/>
      <c r="C341" s="162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25">
      <c r="B342" s="9"/>
      <c r="C342" s="162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25">
      <c r="B343" s="9"/>
      <c r="C343" s="162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25">
      <c r="B344" s="9"/>
      <c r="C344" s="162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25">
      <c r="B345" s="9"/>
      <c r="C345" s="162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25">
      <c r="B346" s="9"/>
      <c r="C346" s="162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25">
      <c r="B347" s="9"/>
      <c r="C347" s="162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25">
      <c r="B348" s="9"/>
      <c r="C348" s="162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25">
      <c r="B349" s="9"/>
      <c r="C349" s="162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25">
      <c r="B350" s="9"/>
      <c r="C350" s="162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25">
      <c r="B351" s="9"/>
      <c r="C351" s="162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25">
      <c r="B352" s="9"/>
      <c r="C352" s="162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25">
      <c r="B353" s="9"/>
      <c r="C353" s="162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25">
      <c r="B354" s="9"/>
      <c r="C354" s="162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25">
      <c r="B355" s="9"/>
      <c r="C355" s="162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25">
      <c r="B356" s="9"/>
      <c r="C356" s="162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25">
      <c r="B357" s="9"/>
      <c r="C357" s="162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25">
      <c r="B358" s="9"/>
      <c r="C358" s="162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25">
      <c r="B359" s="9"/>
      <c r="C359" s="162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25">
      <c r="B360" s="9"/>
      <c r="C360" s="162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25">
      <c r="B361" s="9"/>
      <c r="C361" s="162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25">
      <c r="B362" s="9"/>
      <c r="C362" s="162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25">
      <c r="B363" s="9"/>
      <c r="C363" s="162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25">
      <c r="B364" s="9"/>
      <c r="C364" s="162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25">
      <c r="B365" s="9"/>
      <c r="C365" s="162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25">
      <c r="B366" s="9"/>
      <c r="C366" s="162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25">
      <c r="B367" s="9"/>
      <c r="C367" s="162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25">
      <c r="B368" s="9"/>
      <c r="C368" s="162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25">
      <c r="B369" s="9"/>
      <c r="C369" s="162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25">
      <c r="B370" s="9"/>
      <c r="C370" s="162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25">
      <c r="B371" s="9"/>
      <c r="C371" s="162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25">
      <c r="B372" s="9"/>
      <c r="C372" s="162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25">
      <c r="B373" s="9"/>
      <c r="C373" s="162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25">
      <c r="B374" s="9"/>
      <c r="C374" s="162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25">
      <c r="B375" s="9"/>
      <c r="C375" s="162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25">
      <c r="B376" s="9"/>
      <c r="C376" s="162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25">
      <c r="B377" s="9"/>
      <c r="C377" s="162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25">
      <c r="B378" s="9"/>
      <c r="C378" s="162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25">
      <c r="B379" s="9"/>
      <c r="C379" s="16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25">
      <c r="B380" s="9"/>
      <c r="C380" s="16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25">
      <c r="B381" s="9"/>
      <c r="C381" s="16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25">
      <c r="B382" s="9"/>
      <c r="C382" s="16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25">
      <c r="B383" s="9"/>
      <c r="C383" s="16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25">
      <c r="B384" s="9"/>
      <c r="C384" s="16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25">
      <c r="B385" s="9"/>
      <c r="C385" s="16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25">
      <c r="B386" s="9"/>
      <c r="C386" s="16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25">
      <c r="B387" s="9"/>
      <c r="C387" s="16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25">
      <c r="B388" s="9"/>
      <c r="C388" s="16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25">
      <c r="B389" s="9"/>
      <c r="C389" s="16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25">
      <c r="B390" s="9"/>
      <c r="C390" s="16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25">
      <c r="B391" s="9"/>
      <c r="C391" s="16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25">
      <c r="B392" s="9"/>
      <c r="C392" s="16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25">
      <c r="B393" s="9"/>
      <c r="C393" s="16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25">
      <c r="B394" s="9"/>
      <c r="C394" s="16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25">
      <c r="B395" s="9"/>
      <c r="C395" s="16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25">
      <c r="B396" s="9"/>
      <c r="C396" s="16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25">
      <c r="B397" s="9"/>
      <c r="C397" s="16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25">
      <c r="B398" s="9"/>
      <c r="C398" s="16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25">
      <c r="B399" s="9"/>
      <c r="C399" s="16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25">
      <c r="B400" s="9"/>
      <c r="C400" s="16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25">
      <c r="B401" s="9"/>
      <c r="C401" s="16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25">
      <c r="B402" s="9"/>
      <c r="C402" s="16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25">
      <c r="B403" s="9"/>
      <c r="C403" s="16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25">
      <c r="B404" s="9"/>
      <c r="C404" s="16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25">
      <c r="B405" s="9"/>
      <c r="C405" s="16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25">
      <c r="B406" s="9"/>
      <c r="C406" s="16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25">
      <c r="B407" s="9"/>
      <c r="C407" s="16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25">
      <c r="B408" s="9"/>
      <c r="C408" s="16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25">
      <c r="B409" s="9"/>
      <c r="C409" s="16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25">
      <c r="B410" s="9"/>
      <c r="C410" s="16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25">
      <c r="B411" s="9"/>
      <c r="C411" s="16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25">
      <c r="B412" s="9"/>
      <c r="C412" s="16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  <mergeCell ref="C20:F20"/>
    <mergeCell ref="B20:B22"/>
    <mergeCell ref="B2:B3"/>
    <mergeCell ref="B11:B13"/>
    <mergeCell ref="C11:F1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sheetPr codeName="Hoja11"/>
  <dimension ref="A1:F21"/>
  <sheetViews>
    <sheetView workbookViewId="0">
      <selection sqref="A1:F1"/>
    </sheetView>
  </sheetViews>
  <sheetFormatPr baseColWidth="10" defaultRowHeight="15" x14ac:dyDescent="0.25"/>
  <cols>
    <col min="1" max="1" width="37.42578125" bestFit="1" customWidth="1"/>
    <col min="2" max="3" width="20.85546875" customWidth="1"/>
    <col min="4" max="4" width="15.140625" bestFit="1" customWidth="1"/>
    <col min="5" max="5" width="18" customWidth="1"/>
    <col min="6" max="6" width="20.42578125" customWidth="1"/>
  </cols>
  <sheetData>
    <row r="1" spans="1:6" ht="14.25" x14ac:dyDescent="0.25">
      <c r="A1" s="872" t="s">
        <v>210</v>
      </c>
      <c r="B1" s="872"/>
      <c r="C1" s="872"/>
      <c r="D1" s="872"/>
      <c r="E1" s="872"/>
      <c r="F1" s="872"/>
    </row>
    <row r="2" spans="1:6" ht="28.15" customHeight="1" x14ac:dyDescent="0.25">
      <c r="A2" s="206" t="s">
        <v>151</v>
      </c>
      <c r="B2" s="206" t="s">
        <v>201</v>
      </c>
      <c r="C2" s="206" t="s">
        <v>205</v>
      </c>
      <c r="D2" s="206" t="s">
        <v>202</v>
      </c>
      <c r="E2" s="206" t="s">
        <v>206</v>
      </c>
      <c r="F2" s="208" t="s">
        <v>219</v>
      </c>
    </row>
    <row r="3" spans="1:6" x14ac:dyDescent="0.25">
      <c r="A3" s="204" t="s">
        <v>200</v>
      </c>
      <c r="B3" s="89">
        <f>+'INVENTARIO Y CONSUMO GEM  '!S98</f>
        <v>11141</v>
      </c>
      <c r="C3" s="89">
        <f>+B3/23</f>
        <v>484.39130434782606</v>
      </c>
      <c r="D3" s="205">
        <f>+'INVENTARIO Y CONSUMO GEM  '!AN98</f>
        <v>48577388.5</v>
      </c>
      <c r="E3" s="205">
        <f>+D3/23</f>
        <v>2112060.3695652173</v>
      </c>
      <c r="F3" s="209">
        <f>+D3/$B$9</f>
        <v>1204.7067058502591</v>
      </c>
    </row>
    <row r="4" spans="1:6" ht="14.25" x14ac:dyDescent="0.25">
      <c r="A4" s="204" t="s">
        <v>198</v>
      </c>
      <c r="B4" s="89">
        <f>+'INVENTARIO Y CONSUMO GEM  '!T98</f>
        <v>17238.25</v>
      </c>
      <c r="C4" s="89">
        <f>+B4/23</f>
        <v>749.48913043478262</v>
      </c>
      <c r="D4" s="205">
        <f>+'INVENTARIO Y CONSUMO GEM  '!AO98</f>
        <v>41547000</v>
      </c>
      <c r="E4" s="205">
        <f>+D4/23</f>
        <v>1806391.3043478262</v>
      </c>
      <c r="F4" s="209">
        <f>+D4/$B$9</f>
        <v>1030.3548843092033</v>
      </c>
    </row>
    <row r="5" spans="1:6" ht="14.25" x14ac:dyDescent="0.25">
      <c r="A5" s="204" t="s">
        <v>199</v>
      </c>
      <c r="B5" s="89">
        <f>+'INVENTARIO Y CONSUMO GEM  '!U98</f>
        <v>6600</v>
      </c>
      <c r="C5" s="89">
        <f>+B5/23</f>
        <v>286.95652173913044</v>
      </c>
      <c r="D5" s="205">
        <f>+'INVENTARIO Y CONSUMO GEM  '!AP98</f>
        <v>5238750</v>
      </c>
      <c r="E5" s="205">
        <f>+D5/23</f>
        <v>227771.73913043478</v>
      </c>
      <c r="F5" s="209">
        <f>+D5/$B$9</f>
        <v>129.91964883565211</v>
      </c>
    </row>
    <row r="6" spans="1:6" x14ac:dyDescent="0.25">
      <c r="A6" s="204" t="s">
        <v>203</v>
      </c>
      <c r="B6" s="89">
        <f>+'INVENTARIO Y CONSUMO GEM  '!V98</f>
        <v>275</v>
      </c>
      <c r="C6" s="89">
        <f>+B6/23</f>
        <v>11.956521739130435</v>
      </c>
      <c r="D6" s="205">
        <f>+'INVENTARIO Y CONSUMO GEM  '!AQ98</f>
        <v>9922500</v>
      </c>
      <c r="E6" s="205">
        <f>+D6/23</f>
        <v>431413.04347826086</v>
      </c>
      <c r="F6" s="209">
        <f>+D6/$B$9</f>
        <v>246.07544081541553</v>
      </c>
    </row>
    <row r="7" spans="1:6" x14ac:dyDescent="0.25">
      <c r="A7" s="204" t="s">
        <v>204</v>
      </c>
      <c r="B7" s="89">
        <f>+'INVENTARIO Y CONSUMO GEM  '!W98</f>
        <v>450</v>
      </c>
      <c r="C7" s="89">
        <f>+B7/23</f>
        <v>19.565217391304348</v>
      </c>
      <c r="D7" s="205">
        <f>+'INVENTARIO Y CONSUMO GEM  '!AR98</f>
        <v>114532668.5</v>
      </c>
      <c r="E7" s="205">
        <f>+D7/23</f>
        <v>4979681.2391304346</v>
      </c>
      <c r="F7" s="209">
        <f>+D7/$B$9</f>
        <v>2840.3806388413559</v>
      </c>
    </row>
    <row r="8" spans="1:6" ht="14.25" x14ac:dyDescent="0.25">
      <c r="A8" s="203" t="s">
        <v>212</v>
      </c>
      <c r="B8" s="871">
        <f>+SUM(D3:D7)</f>
        <v>219818307</v>
      </c>
      <c r="C8" s="871"/>
      <c r="D8" s="871"/>
      <c r="E8" s="207"/>
      <c r="F8" s="210">
        <f>SUM(F3:F7)</f>
        <v>5451.437318651886</v>
      </c>
    </row>
    <row r="9" spans="1:6" ht="14.25" x14ac:dyDescent="0.25">
      <c r="A9" s="203" t="s">
        <v>213</v>
      </c>
      <c r="B9" s="873">
        <v>40323</v>
      </c>
      <c r="C9" s="874"/>
      <c r="D9" s="874"/>
      <c r="E9" s="874"/>
      <c r="F9" s="875"/>
    </row>
    <row r="10" spans="1:6" x14ac:dyDescent="0.25">
      <c r="A10" s="878" t="s">
        <v>211</v>
      </c>
      <c r="B10" s="878"/>
      <c r="C10" s="878"/>
      <c r="D10" s="878"/>
      <c r="E10" s="878"/>
    </row>
    <row r="11" spans="1:6" x14ac:dyDescent="0.25">
      <c r="A11" s="206" t="s">
        <v>151</v>
      </c>
      <c r="B11" s="206" t="s">
        <v>201</v>
      </c>
      <c r="C11" s="206" t="s">
        <v>205</v>
      </c>
      <c r="D11" s="206" t="s">
        <v>202</v>
      </c>
      <c r="E11" s="206" t="s">
        <v>206</v>
      </c>
    </row>
    <row r="12" spans="1:6" x14ac:dyDescent="0.25">
      <c r="A12" s="204" t="s">
        <v>207</v>
      </c>
      <c r="B12" s="89">
        <f>240*2</f>
        <v>480</v>
      </c>
      <c r="C12" s="89">
        <f>+B12/23</f>
        <v>20.869565217391305</v>
      </c>
      <c r="D12" s="205">
        <f>1780*B12</f>
        <v>854400</v>
      </c>
      <c r="E12" s="205">
        <f>+D12/23</f>
        <v>37147.82608695652</v>
      </c>
    </row>
    <row r="13" spans="1:6" ht="14.25" x14ac:dyDescent="0.25">
      <c r="A13" s="204" t="s">
        <v>208</v>
      </c>
      <c r="B13" s="89">
        <v>200</v>
      </c>
      <c r="C13" s="89">
        <f>+B13/23</f>
        <v>8.695652173913043</v>
      </c>
      <c r="D13" s="205">
        <f>2100*B13</f>
        <v>420000</v>
      </c>
      <c r="E13" s="205">
        <f>+D13/23</f>
        <v>18260.869565217392</v>
      </c>
    </row>
    <row r="14" spans="1:6" ht="14.25" x14ac:dyDescent="0.25">
      <c r="A14" s="204" t="s">
        <v>209</v>
      </c>
      <c r="B14" s="89">
        <v>160</v>
      </c>
      <c r="C14" s="89">
        <f>+B14/23</f>
        <v>6.9565217391304346</v>
      </c>
      <c r="D14" s="205">
        <f>3880*B14</f>
        <v>620800</v>
      </c>
      <c r="E14" s="205">
        <f>+D14/23</f>
        <v>26991.304347826088</v>
      </c>
    </row>
    <row r="15" spans="1:6" ht="14.25" x14ac:dyDescent="0.25">
      <c r="A15" s="203" t="s">
        <v>212</v>
      </c>
      <c r="B15" s="876">
        <f>+SUM(D12:D14)</f>
        <v>1895200</v>
      </c>
      <c r="C15" s="877"/>
      <c r="D15" s="877"/>
      <c r="E15" s="877"/>
    </row>
    <row r="16" spans="1:6" ht="14.25" x14ac:dyDescent="0.25">
      <c r="A16" s="203" t="s">
        <v>213</v>
      </c>
      <c r="B16" s="871">
        <v>12660</v>
      </c>
      <c r="C16" s="871"/>
      <c r="D16" s="871"/>
      <c r="E16" s="871"/>
    </row>
    <row r="17" spans="1:5" x14ac:dyDescent="0.25">
      <c r="A17" s="203" t="s">
        <v>214</v>
      </c>
      <c r="B17" s="873">
        <v>9612</v>
      </c>
      <c r="C17" s="874"/>
      <c r="D17" s="874"/>
      <c r="E17" s="875"/>
    </row>
    <row r="18" spans="1:5" ht="14.25" x14ac:dyDescent="0.25">
      <c r="A18" s="203" t="s">
        <v>215</v>
      </c>
      <c r="B18" s="871">
        <f>+B15/B16</f>
        <v>149.69984202211691</v>
      </c>
      <c r="C18" s="871"/>
      <c r="D18" s="871"/>
      <c r="E18" s="871"/>
    </row>
    <row r="19" spans="1:5" ht="14.25" x14ac:dyDescent="0.25">
      <c r="A19" s="203" t="s">
        <v>216</v>
      </c>
      <c r="B19" s="876">
        <f>+B15/B17</f>
        <v>197.17020391177695</v>
      </c>
      <c r="C19" s="877"/>
      <c r="D19" s="877"/>
      <c r="E19" s="877"/>
    </row>
    <row r="20" spans="1:5" ht="14.25" x14ac:dyDescent="0.25">
      <c r="A20" s="203" t="s">
        <v>217</v>
      </c>
      <c r="B20" s="876">
        <f>F8+B18</f>
        <v>5601.1371606740031</v>
      </c>
      <c r="C20" s="877"/>
      <c r="D20" s="877"/>
      <c r="E20" s="877"/>
    </row>
    <row r="21" spans="1:5" x14ac:dyDescent="0.25">
      <c r="A21" s="203" t="s">
        <v>218</v>
      </c>
      <c r="B21" s="876">
        <f>F8+B19</f>
        <v>5648.6075225636632</v>
      </c>
      <c r="C21" s="877"/>
      <c r="D21" s="877"/>
      <c r="E21" s="877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PROYECCIÓN INSUMOS QUÍMICO</vt:lpstr>
      <vt:lpstr>INVENTARIO Y CONSUMO GEM  </vt:lpstr>
      <vt:lpstr>DB QUIMICA</vt:lpstr>
      <vt:lpstr>GRAFICAS</vt:lpstr>
      <vt:lpstr>INFORME CALIDAD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2026-05-12T19:12:45Z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