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2025\Informes Luna\INFORMES Y ESTUDIOS\"/>
    </mc:Choice>
  </mc:AlternateContent>
  <xr:revisionPtr revIDLastSave="0" documentId="13_ncr:1_{971FFBB4-606F-4737-8A83-81882793A7E5}" xr6:coauthVersionLast="47" xr6:coauthVersionMax="47" xr10:uidLastSave="{00000000-0000-0000-0000-000000000000}"/>
  <bookViews>
    <workbookView xWindow="23880" yWindow="1830" windowWidth="20730" windowHeight="11040" activeTab="1" xr2:uid="{9C670F14-62C0-41FD-8981-4993CFC3B191}"/>
  </bookViews>
  <sheets>
    <sheet name="CONS POR FASE" sheetId="8" r:id="rId1"/>
    <sheet name="CONS POR LINEA" sheetId="12" r:id="rId2"/>
    <sheet name="CALC ENERGIA" sheetId="13" r:id="rId3"/>
    <sheet name="Q POR CAJAS" sheetId="2" r:id="rId4"/>
    <sheet name="EQUIPOS" sheetId="5" r:id="rId5"/>
    <sheet name="DIAGRAMA COSTOS" sheetId="4" r:id="rId6"/>
    <sheet name="PTAP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2" l="1"/>
  <c r="F12" i="12" l="1"/>
  <c r="F13" i="12" s="1"/>
  <c r="F14" i="12" s="1"/>
  <c r="E14" i="12"/>
  <c r="P68" i="12"/>
  <c r="P63" i="12"/>
  <c r="P41" i="12"/>
  <c r="P14" i="12"/>
  <c r="R15" i="12"/>
  <c r="E6" i="12"/>
  <c r="E63" i="12"/>
  <c r="E62" i="12"/>
  <c r="O3" i="8"/>
  <c r="O4" i="8"/>
  <c r="O5" i="8"/>
  <c r="O6" i="8"/>
  <c r="H6" i="8"/>
  <c r="H5" i="8"/>
  <c r="C96" i="8"/>
  <c r="C87" i="8"/>
  <c r="C88" i="8" s="1"/>
  <c r="C89" i="8" s="1"/>
  <c r="C78" i="8"/>
  <c r="C75" i="8"/>
  <c r="C66" i="8"/>
  <c r="C63" i="8"/>
  <c r="C57" i="8"/>
  <c r="C54" i="8"/>
  <c r="C79" i="8" l="1"/>
  <c r="C80" i="8" s="1"/>
  <c r="C81" i="8" s="1"/>
  <c r="D82" i="8" s="1"/>
  <c r="D90" i="8"/>
  <c r="C67" i="8"/>
  <c r="C68" i="8" s="1"/>
  <c r="C69" i="8" s="1"/>
  <c r="F5" i="8" s="1"/>
  <c r="C58" i="8"/>
  <c r="L3" i="8" s="1"/>
  <c r="C45" i="8"/>
  <c r="C48" i="8"/>
  <c r="C37" i="8"/>
  <c r="C40" i="8" s="1"/>
  <c r="C33" i="8"/>
  <c r="O12" i="10"/>
  <c r="N3" i="8"/>
  <c r="D20" i="10"/>
  <c r="D19" i="10"/>
  <c r="K19" i="10"/>
  <c r="K20" i="10"/>
  <c r="G23" i="10"/>
  <c r="G24" i="10" s="1"/>
  <c r="G25" i="10" s="1"/>
  <c r="C91" i="8" l="1"/>
  <c r="G6" i="8" s="1"/>
  <c r="C49" i="8"/>
  <c r="K4" i="8" s="1"/>
  <c r="C11" i="8"/>
  <c r="I3" i="8"/>
  <c r="C12" i="8"/>
  <c r="J3" i="8" s="1"/>
  <c r="D11" i="10"/>
  <c r="D10" i="10"/>
  <c r="L11" i="10"/>
  <c r="L10" i="10"/>
  <c r="L8" i="10"/>
  <c r="T3" i="10"/>
  <c r="M19" i="10"/>
  <c r="N19" i="10" s="1"/>
  <c r="O19" i="10" s="1"/>
  <c r="M20" i="10"/>
  <c r="N20" i="10" s="1"/>
  <c r="O20" i="10" s="1"/>
  <c r="I17" i="10" l="1"/>
  <c r="J20" i="10"/>
  <c r="F20" i="10"/>
  <c r="E20" i="10"/>
  <c r="G179" i="13"/>
  <c r="F179" i="13"/>
  <c r="E179" i="13"/>
  <c r="C179" i="13"/>
  <c r="G164" i="13"/>
  <c r="F164" i="13"/>
  <c r="E164" i="13"/>
  <c r="C164" i="13"/>
  <c r="G157" i="13"/>
  <c r="F157" i="13"/>
  <c r="E157" i="13"/>
  <c r="C157" i="13"/>
  <c r="G150" i="13"/>
  <c r="F150" i="13"/>
  <c r="E150" i="13"/>
  <c r="C150" i="13"/>
  <c r="G142" i="13"/>
  <c r="F142" i="13"/>
  <c r="E142" i="13"/>
  <c r="C142" i="13"/>
  <c r="G134" i="13"/>
  <c r="F134" i="13"/>
  <c r="E134" i="13"/>
  <c r="C134" i="13"/>
  <c r="G128" i="13"/>
  <c r="F128" i="13"/>
  <c r="E128" i="13"/>
  <c r="C128" i="13"/>
  <c r="G120" i="13"/>
  <c r="F120" i="13"/>
  <c r="E120" i="13"/>
  <c r="C120" i="13"/>
  <c r="G113" i="13"/>
  <c r="F113" i="13"/>
  <c r="E106" i="13"/>
  <c r="C106" i="13"/>
  <c r="G94" i="13"/>
  <c r="F94" i="13"/>
  <c r="G83" i="13"/>
  <c r="C78" i="13"/>
  <c r="X72" i="13"/>
  <c r="Y72" i="13" s="1"/>
  <c r="Z72" i="13" s="1"/>
  <c r="V72" i="13"/>
  <c r="X71" i="13"/>
  <c r="R71" i="13"/>
  <c r="X70" i="13"/>
  <c r="Y70" i="13" s="1"/>
  <c r="Z70" i="13" s="1"/>
  <c r="V70" i="13"/>
  <c r="X69" i="13"/>
  <c r="Y69" i="13" s="1"/>
  <c r="Z69" i="13" s="1"/>
  <c r="V69" i="13"/>
  <c r="C69" i="13"/>
  <c r="X68" i="13"/>
  <c r="Y68" i="13" s="1"/>
  <c r="Z68" i="13" s="1"/>
  <c r="V68" i="13"/>
  <c r="X67" i="13"/>
  <c r="Y67" i="13" s="1"/>
  <c r="Z67" i="13" s="1"/>
  <c r="V67" i="13"/>
  <c r="X66" i="13"/>
  <c r="Y66" i="13" s="1"/>
  <c r="Z66" i="13" s="1"/>
  <c r="AA66" i="13" s="1"/>
  <c r="V66" i="13"/>
  <c r="P66" i="13"/>
  <c r="F66" i="13"/>
  <c r="G68" i="13" s="1"/>
  <c r="X65" i="13"/>
  <c r="P65" i="13"/>
  <c r="Q65" i="13" s="1"/>
  <c r="R65" i="13" s="1"/>
  <c r="X64" i="13"/>
  <c r="Q64" i="13"/>
  <c r="R64" i="13" s="1"/>
  <c r="X63" i="13"/>
  <c r="Y63" i="13" s="1"/>
  <c r="Z63" i="13" s="1"/>
  <c r="V63" i="13"/>
  <c r="X62" i="13"/>
  <c r="R62" i="13"/>
  <c r="Z61" i="13"/>
  <c r="X61" i="13"/>
  <c r="R61" i="13"/>
  <c r="Y60" i="13"/>
  <c r="Z60" i="13" s="1"/>
  <c r="X60" i="13"/>
  <c r="V60" i="13"/>
  <c r="C60" i="13"/>
  <c r="X59" i="13"/>
  <c r="R59" i="13"/>
  <c r="X58" i="13"/>
  <c r="Y58" i="13" s="1"/>
  <c r="Z58" i="13" s="1"/>
  <c r="V58" i="13"/>
  <c r="X57" i="13"/>
  <c r="Y57" i="13" s="1"/>
  <c r="V57" i="13"/>
  <c r="U57" i="13"/>
  <c r="X56" i="13"/>
  <c r="Y56" i="13" s="1"/>
  <c r="Z56" i="13" s="1"/>
  <c r="V56" i="13"/>
  <c r="W55" i="13"/>
  <c r="V55" i="13"/>
  <c r="Q55" i="13"/>
  <c r="W54" i="13"/>
  <c r="X54" i="13" s="1"/>
  <c r="Y54" i="13" s="1"/>
  <c r="V54" i="13"/>
  <c r="Q54" i="13"/>
  <c r="R54" i="13" s="1"/>
  <c r="X51" i="13"/>
  <c r="V51" i="13"/>
  <c r="Y51" i="13" s="1"/>
  <c r="Z51" i="13" s="1"/>
  <c r="G51" i="13"/>
  <c r="C51" i="13"/>
  <c r="F51" i="13" s="1"/>
  <c r="X50" i="13"/>
  <c r="X49" i="13"/>
  <c r="R49" i="13"/>
  <c r="X48" i="13"/>
  <c r="R48" i="13"/>
  <c r="X47" i="13"/>
  <c r="R47" i="13"/>
  <c r="X46" i="13"/>
  <c r="R46" i="13"/>
  <c r="X45" i="13"/>
  <c r="R45" i="13"/>
  <c r="X44" i="13"/>
  <c r="R44" i="13"/>
  <c r="X43" i="13"/>
  <c r="R43" i="13"/>
  <c r="X42" i="13"/>
  <c r="R42" i="13"/>
  <c r="X41" i="13"/>
  <c r="V41" i="13"/>
  <c r="G41" i="13"/>
  <c r="F56" i="13" s="1"/>
  <c r="X40" i="13"/>
  <c r="Q40" i="13"/>
  <c r="R40" i="13" s="1"/>
  <c r="X39" i="13"/>
  <c r="R39" i="13"/>
  <c r="X38" i="13"/>
  <c r="R38" i="13"/>
  <c r="X37" i="13"/>
  <c r="R37" i="13"/>
  <c r="X36" i="13"/>
  <c r="P36" i="13"/>
  <c r="Q36" i="13" s="1"/>
  <c r="R36" i="13" s="1"/>
  <c r="X35" i="13"/>
  <c r="X34" i="13"/>
  <c r="Y34" i="13" s="1"/>
  <c r="Z34" i="13" s="1"/>
  <c r="V34" i="13"/>
  <c r="X33" i="13"/>
  <c r="R33" i="13"/>
  <c r="X32" i="13"/>
  <c r="V32" i="13"/>
  <c r="X31" i="13"/>
  <c r="R31" i="13"/>
  <c r="X30" i="13"/>
  <c r="V30" i="13"/>
  <c r="X29" i="13"/>
  <c r="V29" i="13"/>
  <c r="G29" i="13"/>
  <c r="Q28" i="13"/>
  <c r="R28" i="13" s="1"/>
  <c r="X27" i="13"/>
  <c r="V27" i="13"/>
  <c r="R26" i="13"/>
  <c r="Q26" i="13"/>
  <c r="X25" i="13"/>
  <c r="V25" i="13"/>
  <c r="X23" i="13"/>
  <c r="V23" i="13"/>
  <c r="X22" i="13"/>
  <c r="V22" i="13"/>
  <c r="G22" i="13"/>
  <c r="Q21" i="13"/>
  <c r="R21" i="13" s="1"/>
  <c r="C21" i="13"/>
  <c r="Q20" i="13"/>
  <c r="R20" i="13" s="1"/>
  <c r="X17" i="13"/>
  <c r="V17" i="13"/>
  <c r="Q16" i="13"/>
  <c r="R16" i="13" s="1"/>
  <c r="X15" i="13"/>
  <c r="V15" i="13"/>
  <c r="S15" i="13"/>
  <c r="G15" i="13"/>
  <c r="S14" i="13"/>
  <c r="S13" i="13"/>
  <c r="P13" i="13"/>
  <c r="Q13" i="13" s="1"/>
  <c r="R13" i="13" s="1"/>
  <c r="C13" i="13"/>
  <c r="X12" i="13"/>
  <c r="Y12" i="13" s="1"/>
  <c r="Z12" i="13" s="1"/>
  <c r="V12" i="13"/>
  <c r="S12" i="13"/>
  <c r="P12" i="13"/>
  <c r="Q12" i="13" s="1"/>
  <c r="R12" i="13" s="1"/>
  <c r="X11" i="13"/>
  <c r="V11" i="13"/>
  <c r="S11" i="13"/>
  <c r="P11" i="13"/>
  <c r="Q11" i="13" s="1"/>
  <c r="R11" i="13" s="1"/>
  <c r="Q10" i="13"/>
  <c r="R10" i="13" s="1"/>
  <c r="Q9" i="13"/>
  <c r="R9" i="13" s="1"/>
  <c r="Q8" i="13"/>
  <c r="R8" i="13" s="1"/>
  <c r="Q7" i="13"/>
  <c r="R7" i="13" s="1"/>
  <c r="Q6" i="13"/>
  <c r="R6" i="13" s="1"/>
  <c r="C6" i="13"/>
  <c r="C7" i="13" s="1"/>
  <c r="E5" i="13"/>
  <c r="E7" i="13" s="1"/>
  <c r="I19" i="10"/>
  <c r="J19" i="10" s="1"/>
  <c r="E19" i="10"/>
  <c r="F19" i="10" s="1"/>
  <c r="I8" i="10"/>
  <c r="K18" i="10"/>
  <c r="J17" i="10"/>
  <c r="D16" i="10"/>
  <c r="D17" i="10" s="1"/>
  <c r="D18" i="10" s="1"/>
  <c r="L7" i="10"/>
  <c r="I7" i="10"/>
  <c r="J7" i="10" s="1"/>
  <c r="D7" i="10"/>
  <c r="L6" i="10"/>
  <c r="J6" i="10"/>
  <c r="F69" i="13" l="1"/>
  <c r="Y17" i="13"/>
  <c r="Z17" i="13" s="1"/>
  <c r="Y15" i="13"/>
  <c r="Z15" i="13" s="1"/>
  <c r="AA15" i="13" s="1"/>
  <c r="Y27" i="13"/>
  <c r="Z27" i="13" s="1"/>
  <c r="Y25" i="13"/>
  <c r="Z25" i="13" s="1"/>
  <c r="Y30" i="13"/>
  <c r="Z30" i="13" s="1"/>
  <c r="Y11" i="13"/>
  <c r="Z11" i="13" s="1"/>
  <c r="AA11" i="13" s="1"/>
  <c r="Y22" i="13"/>
  <c r="Z22" i="13" s="1"/>
  <c r="P14" i="13"/>
  <c r="P15" i="13" s="1"/>
  <c r="Q15" i="13" s="1"/>
  <c r="R15" i="13" s="1"/>
  <c r="Y23" i="13"/>
  <c r="Z23" i="13" s="1"/>
  <c r="Y32" i="13"/>
  <c r="Z32" i="13" s="1"/>
  <c r="R55" i="13"/>
  <c r="AA12" i="13"/>
  <c r="Y41" i="13"/>
  <c r="Z41" i="13" s="1"/>
  <c r="G58" i="13"/>
  <c r="F60" i="13"/>
  <c r="P67" i="13"/>
  <c r="P17" i="13"/>
  <c r="AA17" i="13" s="1"/>
  <c r="AA68" i="13"/>
  <c r="F7" i="13"/>
  <c r="G69" i="13"/>
  <c r="F76" i="13"/>
  <c r="C20" i="13"/>
  <c r="C27" i="13"/>
  <c r="Q66" i="13"/>
  <c r="R66" i="13" s="1"/>
  <c r="P68" i="13"/>
  <c r="X55" i="13"/>
  <c r="Y55" i="13" s="1"/>
  <c r="M6" i="10"/>
  <c r="N6" i="10" s="1"/>
  <c r="O6" i="10" s="1"/>
  <c r="E10" i="10"/>
  <c r="F10" i="10" s="1"/>
  <c r="M7" i="10"/>
  <c r="E42" i="12"/>
  <c r="E43" i="12"/>
  <c r="E44" i="12"/>
  <c r="E45" i="12"/>
  <c r="E46" i="12"/>
  <c r="E47" i="12"/>
  <c r="E48" i="12"/>
  <c r="E49" i="12"/>
  <c r="F6" i="12"/>
  <c r="E7" i="12"/>
  <c r="E8" i="12"/>
  <c r="E9" i="12"/>
  <c r="E10" i="12"/>
  <c r="E16" i="12"/>
  <c r="E18" i="12"/>
  <c r="E19" i="12"/>
  <c r="E20" i="12"/>
  <c r="E21" i="12"/>
  <c r="E24" i="12"/>
  <c r="E26" i="12"/>
  <c r="E28" i="12"/>
  <c r="E29" i="12"/>
  <c r="E31" i="12"/>
  <c r="E17" i="12"/>
  <c r="E22" i="12"/>
  <c r="E23" i="12"/>
  <c r="E25" i="12"/>
  <c r="E27" i="12"/>
  <c r="E30" i="12"/>
  <c r="E32" i="12"/>
  <c r="E33" i="12"/>
  <c r="E34" i="12"/>
  <c r="E35" i="12"/>
  <c r="E36" i="12"/>
  <c r="E37" i="12"/>
  <c r="E38" i="12"/>
  <c r="E39" i="12"/>
  <c r="E40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4" i="12"/>
  <c r="E65" i="12"/>
  <c r="E66" i="12"/>
  <c r="E67" i="12"/>
  <c r="E68" i="12"/>
  <c r="E69" i="12"/>
  <c r="E70" i="12"/>
  <c r="E71" i="12"/>
  <c r="E72" i="12"/>
  <c r="N4" i="8"/>
  <c r="N5" i="8"/>
  <c r="N6" i="8"/>
  <c r="L41" i="12"/>
  <c r="E41" i="12" s="1"/>
  <c r="V3" i="12"/>
  <c r="R14" i="12" s="1"/>
  <c r="U5" i="12"/>
  <c r="V5" i="12" s="1"/>
  <c r="N11" i="12" s="1"/>
  <c r="O11" i="12" s="1"/>
  <c r="E11" i="12" s="1"/>
  <c r="K73" i="12"/>
  <c r="K74" i="12" s="1"/>
  <c r="J73" i="12"/>
  <c r="J74" i="12" s="1"/>
  <c r="I73" i="12"/>
  <c r="I74" i="12" s="1"/>
  <c r="H73" i="12"/>
  <c r="H74" i="12" s="1"/>
  <c r="L12" i="10"/>
  <c r="J13" i="10"/>
  <c r="J16" i="10"/>
  <c r="L18" i="10"/>
  <c r="E17" i="10"/>
  <c r="F17" i="10" s="1"/>
  <c r="L16" i="10"/>
  <c r="E14" i="10"/>
  <c r="F14" i="10" s="1"/>
  <c r="L13" i="10"/>
  <c r="E13" i="10"/>
  <c r="F13" i="10" s="1"/>
  <c r="E9" i="10"/>
  <c r="E7" i="10"/>
  <c r="F7" i="10" s="1"/>
  <c r="E6" i="10"/>
  <c r="F6" i="10" s="1"/>
  <c r="M4" i="8"/>
  <c r="D20" i="8"/>
  <c r="D4" i="8" s="1"/>
  <c r="D21" i="8"/>
  <c r="D5" i="8" s="1"/>
  <c r="G5" i="8" s="1"/>
  <c r="D22" i="8"/>
  <c r="D6" i="8" s="1"/>
  <c r="D19" i="8"/>
  <c r="D3" i="8" s="1"/>
  <c r="Z73" i="13" l="1"/>
  <c r="Z74" i="13" s="1"/>
  <c r="Q14" i="13"/>
  <c r="R14" i="13" s="1"/>
  <c r="P3" i="8"/>
  <c r="C14" i="8"/>
  <c r="C22" i="13"/>
  <c r="E20" i="13"/>
  <c r="P70" i="13"/>
  <c r="Q70" i="13" s="1"/>
  <c r="R70" i="13" s="1"/>
  <c r="Q67" i="13"/>
  <c r="R67" i="13" s="1"/>
  <c r="AA67" i="13"/>
  <c r="Q68" i="13"/>
  <c r="R68" i="13" s="1"/>
  <c r="P69" i="13"/>
  <c r="G60" i="13"/>
  <c r="F77" i="13"/>
  <c r="F78" i="13"/>
  <c r="G76" i="13" s="1"/>
  <c r="Q17" i="13"/>
  <c r="R17" i="13" s="1"/>
  <c r="P18" i="13"/>
  <c r="M16" i="10"/>
  <c r="M12" i="10"/>
  <c r="N12" i="10" s="1"/>
  <c r="N7" i="10"/>
  <c r="O7" i="10" s="1"/>
  <c r="O10" i="10"/>
  <c r="M18" i="10"/>
  <c r="N18" i="10" s="1"/>
  <c r="M13" i="10"/>
  <c r="N13" i="10" s="1"/>
  <c r="O13" i="10" s="1"/>
  <c r="Q14" i="12"/>
  <c r="F7" i="12"/>
  <c r="F8" i="12" s="1"/>
  <c r="F9" i="12" s="1"/>
  <c r="F10" i="12" s="1"/>
  <c r="F11" i="12" s="1"/>
  <c r="N15" i="12"/>
  <c r="O15" i="12" s="1"/>
  <c r="E15" i="12" s="1"/>
  <c r="N13" i="12"/>
  <c r="O13" i="12" s="1"/>
  <c r="E13" i="12" s="1"/>
  <c r="N12" i="12"/>
  <c r="O12" i="12" s="1"/>
  <c r="E12" i="12" s="1"/>
  <c r="N16" i="10"/>
  <c r="E15" i="10"/>
  <c r="F15" i="10" s="1"/>
  <c r="P5" i="8" l="1"/>
  <c r="P4" i="8"/>
  <c r="P6" i="8"/>
  <c r="P19" i="13"/>
  <c r="P22" i="13"/>
  <c r="Q18" i="13"/>
  <c r="R18" i="13" s="1"/>
  <c r="G78" i="13"/>
  <c r="F83" i="13"/>
  <c r="E22" i="13"/>
  <c r="C14" i="13"/>
  <c r="F22" i="13"/>
  <c r="AA71" i="13"/>
  <c r="Q69" i="13"/>
  <c r="R69" i="13" s="1"/>
  <c r="AA69" i="13"/>
  <c r="AA70" i="13"/>
  <c r="P72" i="13"/>
  <c r="O11" i="10"/>
  <c r="E12" i="10"/>
  <c r="F12" i="10" s="1"/>
  <c r="E11" i="10"/>
  <c r="F11" i="10" s="1"/>
  <c r="O16" i="10"/>
  <c r="F15" i="12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P23" i="13" l="1"/>
  <c r="Q19" i="13"/>
  <c r="R19" i="13" s="1"/>
  <c r="E13" i="13"/>
  <c r="C15" i="13"/>
  <c r="Q22" i="13"/>
  <c r="R22" i="13" s="1"/>
  <c r="AA22" i="13"/>
  <c r="Q72" i="13"/>
  <c r="R72" i="13" s="1"/>
  <c r="AA72" i="13"/>
  <c r="G84" i="13"/>
  <c r="F85" i="13"/>
  <c r="E16" i="10"/>
  <c r="F16" i="10" s="1"/>
  <c r="E18" i="10"/>
  <c r="F18" i="10" s="1"/>
  <c r="F42" i="12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O18" i="10"/>
  <c r="Q23" i="13" l="1"/>
  <c r="R23" i="13" s="1"/>
  <c r="AA23" i="13"/>
  <c r="P24" i="13"/>
  <c r="E15" i="13"/>
  <c r="C28" i="13"/>
  <c r="F15" i="13"/>
  <c r="F100" i="13"/>
  <c r="G85" i="13"/>
  <c r="F106" i="13" l="1"/>
  <c r="G101" i="13"/>
  <c r="G102" i="13" s="1"/>
  <c r="G106" i="13" s="1"/>
  <c r="E27" i="13"/>
  <c r="E29" i="13" s="1"/>
  <c r="C29" i="13"/>
  <c r="F29" i="13" s="1"/>
  <c r="Q24" i="13"/>
  <c r="R24" i="13" s="1"/>
  <c r="P25" i="13"/>
  <c r="Q25" i="13" l="1"/>
  <c r="R25" i="13" s="1"/>
  <c r="P27" i="13"/>
  <c r="AA25" i="13"/>
  <c r="P32" i="13" l="1"/>
  <c r="Q27" i="13"/>
  <c r="R27" i="13" s="1"/>
  <c r="AA27" i="13"/>
  <c r="P34" i="13" l="1"/>
  <c r="P30" i="13"/>
  <c r="Q32" i="13"/>
  <c r="R32" i="13" s="1"/>
  <c r="AA32" i="13"/>
  <c r="Q30" i="13" l="1"/>
  <c r="R30" i="13" s="1"/>
  <c r="AA30" i="13"/>
  <c r="P35" i="13"/>
  <c r="Q35" i="13" s="1"/>
  <c r="R35" i="13" s="1"/>
  <c r="Q34" i="13"/>
  <c r="R34" i="13" s="1"/>
  <c r="P41" i="13"/>
  <c r="AA34" i="13"/>
  <c r="Q41" i="13" l="1"/>
  <c r="R41" i="13" s="1"/>
  <c r="P50" i="13"/>
  <c r="AA41" i="13"/>
  <c r="G63" i="4"/>
  <c r="U72" i="4"/>
  <c r="F74" i="4"/>
  <c r="Q77" i="4"/>
  <c r="Q64" i="4"/>
  <c r="Q65" i="4" s="1"/>
  <c r="F64" i="4"/>
  <c r="F65" i="4"/>
  <c r="F51" i="4"/>
  <c r="Q51" i="4" s="1"/>
  <c r="Q50" i="4"/>
  <c r="D46" i="4"/>
  <c r="T19" i="4"/>
  <c r="I19" i="4"/>
  <c r="I33" i="4"/>
  <c r="T33" i="4"/>
  <c r="D34" i="4"/>
  <c r="Q39" i="4"/>
  <c r="U32" i="4" s="1"/>
  <c r="F39" i="4"/>
  <c r="J32" i="4" s="1"/>
  <c r="Q34" i="4"/>
  <c r="Q7" i="4"/>
  <c r="S6" i="4"/>
  <c r="O6" i="4"/>
  <c r="H6" i="4"/>
  <c r="D6" i="4"/>
  <c r="F7" i="4"/>
  <c r="Q20" i="4"/>
  <c r="D20" i="4"/>
  <c r="Q25" i="4"/>
  <c r="U18" i="4" s="1"/>
  <c r="F25" i="4"/>
  <c r="J18" i="4" s="1"/>
  <c r="Q12" i="4"/>
  <c r="U5" i="4" s="1"/>
  <c r="F12" i="4"/>
  <c r="J5" i="4" s="1"/>
  <c r="Q50" i="13" l="1"/>
  <c r="R50" i="13" s="1"/>
  <c r="P51" i="13"/>
  <c r="Q52" i="4"/>
  <c r="U45" i="4" s="1"/>
  <c r="F79" i="4"/>
  <c r="J72" i="4" s="1"/>
  <c r="Q78" i="4"/>
  <c r="Q79" i="4" s="1"/>
  <c r="R63" i="4"/>
  <c r="Q63" i="4" s="1"/>
  <c r="F63" i="4"/>
  <c r="H64" i="4" s="1"/>
  <c r="S64" i="4"/>
  <c r="S65" i="4"/>
  <c r="F47" i="4"/>
  <c r="F52" i="4"/>
  <c r="J45" i="4" s="1"/>
  <c r="Q47" i="4"/>
  <c r="Q51" i="13" l="1"/>
  <c r="R51" i="13" s="1"/>
  <c r="P52" i="13"/>
  <c r="AA51" i="13"/>
  <c r="H65" i="4"/>
  <c r="Q74" i="4"/>
  <c r="G36" i="2"/>
  <c r="F87" i="2"/>
  <c r="G83" i="2"/>
  <c r="G82" i="2"/>
  <c r="F81" i="2"/>
  <c r="G66" i="2"/>
  <c r="G65" i="2"/>
  <c r="F64" i="2"/>
  <c r="G57" i="2"/>
  <c r="F58" i="2"/>
  <c r="F57" i="2"/>
  <c r="F52" i="2"/>
  <c r="G52" i="2"/>
  <c r="G51" i="2"/>
  <c r="F49" i="2"/>
  <c r="G43" i="2"/>
  <c r="F41" i="2"/>
  <c r="G34" i="2"/>
  <c r="F7" i="2"/>
  <c r="P58" i="13" l="1"/>
  <c r="P56" i="13"/>
  <c r="P53" i="13"/>
  <c r="Q52" i="13"/>
  <c r="R52" i="13" s="1"/>
  <c r="G87" i="2"/>
  <c r="F36" i="2"/>
  <c r="Q58" i="13" l="1"/>
  <c r="R58" i="13" s="1"/>
  <c r="AA58" i="13"/>
  <c r="Q53" i="13"/>
  <c r="R53" i="13" s="1"/>
  <c r="P60" i="13"/>
  <c r="P57" i="13"/>
  <c r="Q57" i="13" s="1"/>
  <c r="R57" i="13" s="1"/>
  <c r="Q56" i="13"/>
  <c r="R56" i="13" s="1"/>
  <c r="AA56" i="13"/>
  <c r="G160" i="2"/>
  <c r="F160" i="2"/>
  <c r="E160" i="2"/>
  <c r="G145" i="2"/>
  <c r="F145" i="2"/>
  <c r="E145" i="2"/>
  <c r="C145" i="2"/>
  <c r="G138" i="2"/>
  <c r="F138" i="2"/>
  <c r="E138" i="2"/>
  <c r="C138" i="2"/>
  <c r="G131" i="2"/>
  <c r="F131" i="2"/>
  <c r="E131" i="2"/>
  <c r="C131" i="2"/>
  <c r="G123" i="2"/>
  <c r="F123" i="2"/>
  <c r="G115" i="2"/>
  <c r="F115" i="2"/>
  <c r="G109" i="2"/>
  <c r="F109" i="2"/>
  <c r="G101" i="2"/>
  <c r="F101" i="2"/>
  <c r="G94" i="2"/>
  <c r="F94" i="2"/>
  <c r="G75" i="2"/>
  <c r="F75" i="2"/>
  <c r="G64" i="2"/>
  <c r="F66" i="2"/>
  <c r="F59" i="2"/>
  <c r="G59" i="2"/>
  <c r="F44" i="2"/>
  <c r="G44" i="2"/>
  <c r="G21" i="2"/>
  <c r="F21" i="2"/>
  <c r="G28" i="2"/>
  <c r="F28" i="2"/>
  <c r="E123" i="2"/>
  <c r="C123" i="2"/>
  <c r="E109" i="2"/>
  <c r="C109" i="2"/>
  <c r="C59" i="2"/>
  <c r="C52" i="2"/>
  <c r="C44" i="2"/>
  <c r="C36" i="2"/>
  <c r="C28" i="2"/>
  <c r="C21" i="2"/>
  <c r="C7" i="2"/>
  <c r="C160" i="2"/>
  <c r="E115" i="2"/>
  <c r="C115" i="2"/>
  <c r="E101" i="2"/>
  <c r="C101" i="2"/>
  <c r="E87" i="2"/>
  <c r="C87" i="2"/>
  <c r="P63" i="13" l="1"/>
  <c r="Q60" i="13"/>
  <c r="R60" i="13" s="1"/>
  <c r="AA60" i="13"/>
  <c r="G15" i="2"/>
  <c r="F15" i="2"/>
  <c r="Q63" i="13" l="1"/>
  <c r="R63" i="13" s="1"/>
  <c r="AA63" i="13"/>
  <c r="AA73" i="13" s="1"/>
  <c r="AA74" i="1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<sst xmlns="http://schemas.openxmlformats.org/spreadsheetml/2006/main" count="1522" uniqueCount="436">
  <si>
    <t>ENTRADAS</t>
  </si>
  <si>
    <t>CORRIENTE</t>
  </si>
  <si>
    <t>A</t>
  </si>
  <si>
    <t>B</t>
  </si>
  <si>
    <t>C</t>
  </si>
  <si>
    <t>D</t>
  </si>
  <si>
    <t>Q (m3/h)</t>
  </si>
  <si>
    <t>SALIDAS</t>
  </si>
  <si>
    <t>E</t>
  </si>
  <si>
    <t>F</t>
  </si>
  <si>
    <t>G</t>
  </si>
  <si>
    <t xml:space="preserve"> - </t>
  </si>
  <si>
    <t>TOTAL IN</t>
  </si>
  <si>
    <t>TOTAL OUT</t>
  </si>
  <si>
    <t>BALANCE TH</t>
  </si>
  <si>
    <t>H</t>
  </si>
  <si>
    <t>I</t>
  </si>
  <si>
    <t>-</t>
  </si>
  <si>
    <t>J</t>
  </si>
  <si>
    <t>BALANCE EQUIPO GEM</t>
  </si>
  <si>
    <t>O</t>
  </si>
  <si>
    <t>BALANCE OSMOSIS INVERSA</t>
  </si>
  <si>
    <t>P</t>
  </si>
  <si>
    <t>V</t>
  </si>
  <si>
    <t>W</t>
  </si>
  <si>
    <t>Q</t>
  </si>
  <si>
    <t>BALANCE TANQUE 2 (m3)</t>
  </si>
  <si>
    <t>BALANCE TANQUE 30 (m3)</t>
  </si>
  <si>
    <t>(20 - 130)</t>
  </si>
  <si>
    <t>BALANCE TANQUE 15 (m3)</t>
  </si>
  <si>
    <t>BALANCE TANQUE 60 (m3)</t>
  </si>
  <si>
    <t>CRIBA ROTATIVA</t>
  </si>
  <si>
    <t>K1</t>
  </si>
  <si>
    <t>K2</t>
  </si>
  <si>
    <t>(10 - 65)</t>
  </si>
  <si>
    <t>CRIBA VIBRATORIA 1</t>
  </si>
  <si>
    <t>L1</t>
  </si>
  <si>
    <t>M1</t>
  </si>
  <si>
    <t>N1</t>
  </si>
  <si>
    <t>CRIBA VIBRATORIA 2</t>
  </si>
  <si>
    <t>L2</t>
  </si>
  <si>
    <t>M2</t>
  </si>
  <si>
    <t>N2</t>
  </si>
  <si>
    <t>BALANCE TANQUE PULMÓN</t>
  </si>
  <si>
    <t>BALANCE TORRE DE ENFRIAMIENTO</t>
  </si>
  <si>
    <t>BALANCE CARCAMO A TH</t>
  </si>
  <si>
    <t>M1 + M2</t>
  </si>
  <si>
    <t>AK1</t>
  </si>
  <si>
    <t>AD</t>
  </si>
  <si>
    <t>R</t>
  </si>
  <si>
    <t>AA1</t>
  </si>
  <si>
    <t>AA2</t>
  </si>
  <si>
    <t xml:space="preserve">S </t>
  </si>
  <si>
    <t>T2</t>
  </si>
  <si>
    <t>U</t>
  </si>
  <si>
    <t>X</t>
  </si>
  <si>
    <t>BALANCE SWINGMILL</t>
  </si>
  <si>
    <t>BALANCE ANÓXICO</t>
  </si>
  <si>
    <t>AB1</t>
  </si>
  <si>
    <t>AB2</t>
  </si>
  <si>
    <t>Y</t>
  </si>
  <si>
    <t>BALANCE MBBR</t>
  </si>
  <si>
    <t>Z</t>
  </si>
  <si>
    <t>BALANCE MBR KUBOTA</t>
  </si>
  <si>
    <t>Z1</t>
  </si>
  <si>
    <t>Z2</t>
  </si>
  <si>
    <t>AC1</t>
  </si>
  <si>
    <t>AC2</t>
  </si>
  <si>
    <t>QIN</t>
  </si>
  <si>
    <t>QOUT</t>
  </si>
  <si>
    <t>(0,004 - 0,006)</t>
  </si>
  <si>
    <r>
      <t xml:space="preserve">N1 </t>
    </r>
    <r>
      <rPr>
        <sz val="8"/>
        <color theme="1"/>
        <rFont val="Calibri"/>
        <family val="2"/>
        <scheme val="minor"/>
      </rPr>
      <t>(K1-M1-L1)</t>
    </r>
  </si>
  <si>
    <r>
      <t xml:space="preserve">N2 </t>
    </r>
    <r>
      <rPr>
        <sz val="8"/>
        <color theme="1"/>
        <rFont val="Calibri"/>
        <family val="2"/>
        <scheme val="minor"/>
      </rPr>
      <t>(K2-M2-L2)</t>
    </r>
  </si>
  <si>
    <t>O2</t>
  </si>
  <si>
    <t>(0,003 - 0,006)</t>
  </si>
  <si>
    <t>Q IN</t>
  </si>
  <si>
    <t>Q OUT</t>
  </si>
  <si>
    <t>(16 - 20)</t>
  </si>
  <si>
    <r>
      <t xml:space="preserve">R </t>
    </r>
    <r>
      <rPr>
        <sz val="8"/>
        <color theme="1"/>
        <rFont val="Calibri"/>
        <family val="2"/>
        <scheme val="minor"/>
      </rPr>
      <t>(M1+M2+O2+AD+AK1)</t>
    </r>
  </si>
  <si>
    <t>T1</t>
  </si>
  <si>
    <t>QUIMICA</t>
  </si>
  <si>
    <t>CALCULADORA</t>
  </si>
  <si>
    <t>BALANCE MBR TORAY</t>
  </si>
  <si>
    <t>(45 - 50)</t>
  </si>
  <si>
    <t>(35 - 40)</t>
  </si>
  <si>
    <t>AE</t>
  </si>
  <si>
    <t>(57-63)</t>
  </si>
  <si>
    <t>BALANCE TK PERMEADO MBR</t>
  </si>
  <si>
    <t>BALANCE FILTROS DE INTERCAMBIO IONICO</t>
  </si>
  <si>
    <r>
      <t xml:space="preserve">AF </t>
    </r>
    <r>
      <rPr>
        <sz val="8"/>
        <color theme="1"/>
        <rFont val="Calibri"/>
        <family val="2"/>
        <scheme val="minor"/>
      </rPr>
      <t>(FILTRO ACTIVADO 1)</t>
    </r>
  </si>
  <si>
    <r>
      <t xml:space="preserve">AF </t>
    </r>
    <r>
      <rPr>
        <sz val="8"/>
        <color theme="1"/>
        <rFont val="Calibri"/>
        <family val="2"/>
        <scheme val="minor"/>
      </rPr>
      <t>(FILTRO ACTIVADO 2)</t>
    </r>
  </si>
  <si>
    <t>(28 - 32)</t>
  </si>
  <si>
    <t>AF</t>
  </si>
  <si>
    <t>AG</t>
  </si>
  <si>
    <t>AH</t>
  </si>
  <si>
    <t>AI</t>
  </si>
  <si>
    <t>AJ</t>
  </si>
  <si>
    <t>AK</t>
  </si>
  <si>
    <t>AL</t>
  </si>
  <si>
    <t>AN</t>
  </si>
  <si>
    <t>AÑ</t>
  </si>
  <si>
    <t>AM</t>
  </si>
  <si>
    <t>(10 -30)</t>
  </si>
  <si>
    <t>(5 - 10)</t>
  </si>
  <si>
    <t>(40 - 80)</t>
  </si>
  <si>
    <t>(20 - 120)</t>
  </si>
  <si>
    <t>(1 - 10)</t>
  </si>
  <si>
    <t>(8 - 10)</t>
  </si>
  <si>
    <t>T</t>
  </si>
  <si>
    <r>
      <t>T1</t>
    </r>
    <r>
      <rPr>
        <sz val="8"/>
        <color theme="1"/>
        <rFont val="Calibri"/>
        <family val="2"/>
        <scheme val="minor"/>
      </rPr>
      <t xml:space="preserve"> (T-T2)</t>
    </r>
  </si>
  <si>
    <t>(80 - 90)</t>
  </si>
  <si>
    <t>(60 - 80)</t>
  </si>
  <si>
    <t>(0 - 3)</t>
  </si>
  <si>
    <t>(1 - 32)</t>
  </si>
  <si>
    <t>(3 - 18)</t>
  </si>
  <si>
    <t>(1 - 18)</t>
  </si>
  <si>
    <t>(20 -130)</t>
  </si>
  <si>
    <t>M3/DIA</t>
  </si>
  <si>
    <t>LAVADO TK</t>
  </si>
  <si>
    <t xml:space="preserve">C </t>
  </si>
  <si>
    <t>M3/HORA</t>
  </si>
  <si>
    <t>NOMBRE</t>
  </si>
  <si>
    <t>DESCARGAS DE ROTATIVA</t>
  </si>
  <si>
    <t>DESCARGAS DE FUNZA</t>
  </si>
  <si>
    <t>DESCARGAS DE TINTORERIA</t>
  </si>
  <si>
    <t>DESCARGAS DE LAVANDERIA TK 30</t>
  </si>
  <si>
    <t>DESCARGAS DE LAVANDERIA TK 15</t>
  </si>
  <si>
    <t>SALIDA TK DE 15</t>
  </si>
  <si>
    <t>SALIDA TK DE 30</t>
  </si>
  <si>
    <t>SALIDA TK DE 2</t>
  </si>
  <si>
    <t>K</t>
  </si>
  <si>
    <t>G+H</t>
  </si>
  <si>
    <t>ENTRADA TK 60</t>
  </si>
  <si>
    <t>N1 + N2</t>
  </si>
  <si>
    <t>S</t>
  </si>
  <si>
    <t>SALIDA TK 60</t>
  </si>
  <si>
    <t>RESIDUOS CRIBA ROTATIVA</t>
  </si>
  <si>
    <t>SALIDA CRIBA ROTATIVA</t>
  </si>
  <si>
    <t>INGRESO CRIBA VIBRATORIA 1</t>
  </si>
  <si>
    <t>INGRESO CRIBA VIBRATORIA 2</t>
  </si>
  <si>
    <t>SALIDA CRIBA VIBRATORIA 1</t>
  </si>
  <si>
    <t>SALIDA CRIBA VIBRATORIA 2</t>
  </si>
  <si>
    <t>RESIDUOS CRIBA VIBRATORIA 1</t>
  </si>
  <si>
    <t>RESIDUOS CRIBA VIBRATORIA 2</t>
  </si>
  <si>
    <t>ALIMENTACIÓN TANQUE PULMÓN</t>
  </si>
  <si>
    <t>SALIDA TANQUE PULMÓN</t>
  </si>
  <si>
    <t>PERDIDA TORRE DE ENFRIAMIENTO</t>
  </si>
  <si>
    <t>SALIDA TORRE DE ENFRIAMIENTO</t>
  </si>
  <si>
    <t>CÁRCAMO A TH</t>
  </si>
  <si>
    <t>VERTIMIENTO BOMBA AUXILIAR</t>
  </si>
  <si>
    <t>SALIDA TH</t>
  </si>
  <si>
    <t>RECIRCULACIÓN TH</t>
  </si>
  <si>
    <t>ENTRADA EQUIPO GEM</t>
  </si>
  <si>
    <t>LODOS SALIDA GEM</t>
  </si>
  <si>
    <t>LIXIVIADO SWINGMILL</t>
  </si>
  <si>
    <t>SALIDA GEM</t>
  </si>
  <si>
    <t>SALIDA ANOXICO</t>
  </si>
  <si>
    <t xml:space="preserve">SALIDA MBBR </t>
  </si>
  <si>
    <t>ALIMENTACIÓN MBR 1</t>
  </si>
  <si>
    <t>ALIMENTACIÓN MBR 2</t>
  </si>
  <si>
    <t>PURGA LODO BIOLOGICO MBR1</t>
  </si>
  <si>
    <t>PURGA LODO BIOLOGICO MBR2</t>
  </si>
  <si>
    <t xml:space="preserve">RECIRCULACIÓN MBR1 </t>
  </si>
  <si>
    <t>RECIRCULACIÓN MBR2</t>
  </si>
  <si>
    <t>SALIDA MBR1</t>
  </si>
  <si>
    <t>SALIDA MBR2</t>
  </si>
  <si>
    <t>REBOSE TK PERMEADO</t>
  </si>
  <si>
    <t>SALIDA TK PERMEADO</t>
  </si>
  <si>
    <t>SALIDA FILTROS DE IO</t>
  </si>
  <si>
    <t>RECHAZO RO1 ETAPA 1</t>
  </si>
  <si>
    <t>RECHAZO RO1 ETAPA 2</t>
  </si>
  <si>
    <t>PERMEADO RO1 ETAPA 1</t>
  </si>
  <si>
    <t>PERMEADO RO1 ETAPA 2</t>
  </si>
  <si>
    <t>1. VERTIMIENTO</t>
  </si>
  <si>
    <t>1.1 VERTIMIENTO SALIDA GEM</t>
  </si>
  <si>
    <t>DESCARGAS DE PRODUCCIÓN</t>
  </si>
  <si>
    <t>VERTIMIENTO SALIDA GEM</t>
  </si>
  <si>
    <t>DIAGRAMAS DE COSTOS</t>
  </si>
  <si>
    <t>$</t>
  </si>
  <si>
    <t>$/m3</t>
  </si>
  <si>
    <t>VOLUMEN TRATADO</t>
  </si>
  <si>
    <t>COSTO TOTAL</t>
  </si>
  <si>
    <t>INDICADOR DE COSTO POR M3</t>
  </si>
  <si>
    <t>INDICADOR</t>
  </si>
  <si>
    <t>PERMEADO MBR</t>
  </si>
  <si>
    <t>1.2 VERTIMIENTO PERMEADO MBR</t>
  </si>
  <si>
    <t>PERMEADO RO</t>
  </si>
  <si>
    <t>VERTIMIENTO PERMEADO MBR</t>
  </si>
  <si>
    <t>GEM - BIOLOGICO</t>
  </si>
  <si>
    <t>PERMEADO MBR - PERMEADO RO</t>
  </si>
  <si>
    <t>TRATADO RO</t>
  </si>
  <si>
    <t>PERMEADO MBR - TRATADO RO</t>
  </si>
  <si>
    <t>2.1 TRATADO RO DESDE VERTIMIENTO SALIDA GEM</t>
  </si>
  <si>
    <t>2.2 TRATADO RO DESDE VERTIMIENTO PERMEADO MBR</t>
  </si>
  <si>
    <t>4. COSTO GLOBAL DE TRATAMIENTO</t>
  </si>
  <si>
    <t>3. COSTO DESDE VERTIMIENTO A PERMEADO RO</t>
  </si>
  <si>
    <t>2. COSTO DESDE VERTIMIENTO A VOLUMEN TRATADO RO</t>
  </si>
  <si>
    <t>3.1 RECIRCULACIÓN DESDE VERTIMIENTO SALIDA GEM</t>
  </si>
  <si>
    <t>3.2 RECIRCULACIÓN DESDE VERTIMIENTO PERMEADO MBR</t>
  </si>
  <si>
    <t>4.1 COSTO M3 DESCARGA PRODUCCIÓN</t>
  </si>
  <si>
    <t>4.2 VERTIMIENTO PERMEADO MBR</t>
  </si>
  <si>
    <t>5. COSTO DE REPOSICIÓN</t>
  </si>
  <si>
    <t>$ REPOSICIÓN CARROTANQUES</t>
  </si>
  <si>
    <t xml:space="preserve"> $ REPOSICIÓN ACUEDUCTO</t>
  </si>
  <si>
    <t>$ M3 ENVIADO RO</t>
  </si>
  <si>
    <t>$ RO</t>
  </si>
  <si>
    <t>$ CT</t>
  </si>
  <si>
    <t>$ A</t>
  </si>
  <si>
    <t>5.1 RECIRCULACIÓN DESDE VERTIMIENTO PERMEADO MBR</t>
  </si>
  <si>
    <t>5.2 TRATADO RO DESDE VERTIMIENTO PERMEADO MBR</t>
  </si>
  <si>
    <t>AHORRO</t>
  </si>
  <si>
    <t>$/FUENTE</t>
  </si>
  <si>
    <t>$ TOTAL</t>
  </si>
  <si>
    <t>6. CAJAS Y POR UNIDAD DE TTO</t>
  </si>
  <si>
    <t>CRUDA</t>
  </si>
  <si>
    <t>TRATADO PTAP</t>
  </si>
  <si>
    <t>SALIDA UF PTAP</t>
  </si>
  <si>
    <t>SALIDA UF</t>
  </si>
  <si>
    <t>4.1 COSTO M3 TRATADO PTAP</t>
  </si>
  <si>
    <t>7. PTAP</t>
  </si>
  <si>
    <t>W controlador pH</t>
  </si>
  <si>
    <t>Bomba coagulante</t>
  </si>
  <si>
    <t>Decolorante W</t>
  </si>
  <si>
    <t>Acido W</t>
  </si>
  <si>
    <t>kw mixer anionico</t>
  </si>
  <si>
    <t>Kw bomba polimero cationico</t>
  </si>
  <si>
    <t>Bomba de permeado</t>
  </si>
  <si>
    <t>Kw soplador 301</t>
  </si>
  <si>
    <t>PERMEADO RO2</t>
  </si>
  <si>
    <t>RECHAZO RO2</t>
  </si>
  <si>
    <t>M3/mes</t>
  </si>
  <si>
    <t>OBSERVACIONES</t>
  </si>
  <si>
    <t>CONSUMO PROMEDIO ENE - AGO</t>
  </si>
  <si>
    <t>PROMEDIO ANUAL INGRESO RO</t>
  </si>
  <si>
    <t>40% KG DE PROMEDIO CANECAS</t>
  </si>
  <si>
    <t>SALIDA TK60 - RESIDUOS ROTATIVA</t>
  </si>
  <si>
    <t>MITAD CRIBA ROTATIVA</t>
  </si>
  <si>
    <t>15% KG DE PROMEDIO CANECAS</t>
  </si>
  <si>
    <t>INGRESO - RESIDUO</t>
  </si>
  <si>
    <t>SUMA SALIDA CRIBAS VIB</t>
  </si>
  <si>
    <t>IGUAL A ENTRADA PULMON</t>
  </si>
  <si>
    <t>0,005% PERDIDA</t>
  </si>
  <si>
    <t>ENTRADA MENOS PERDIDA</t>
  </si>
  <si>
    <t xml:space="preserve">SALIDA TORRE DE ENFRIAMIENTO </t>
  </si>
  <si>
    <t>OZONO</t>
  </si>
  <si>
    <t>26 M3 X CIP</t>
  </si>
  <si>
    <t>VOLUMEN EN TH</t>
  </si>
  <si>
    <t>SALIDA DE TH</t>
  </si>
  <si>
    <t>ENTRADA ANOXICO</t>
  </si>
  <si>
    <t>MITAD SALIDA MBBR</t>
  </si>
  <si>
    <t>10 M3 POR PURGA</t>
  </si>
  <si>
    <t>TODO EL VOLUMEN SE RECIRCULA</t>
  </si>
  <si>
    <t>IGUAL A ENTRADA, SIN PERDIDAS</t>
  </si>
  <si>
    <t>NO SE TIENE EN CUENTA</t>
  </si>
  <si>
    <t>EFICIENCIA 50% RO1 ETAPA 1</t>
  </si>
  <si>
    <t>EFICIENCIA 50% RO1 ETAPA 2</t>
  </si>
  <si>
    <t>EFICIENCIA 80% RO2</t>
  </si>
  <si>
    <t xml:space="preserve">barre lodo </t>
  </si>
  <si>
    <t>CALCULOS</t>
  </si>
  <si>
    <t>NOMINA</t>
  </si>
  <si>
    <t>$KW</t>
  </si>
  <si>
    <t xml:space="preserve">UNIDAD </t>
  </si>
  <si>
    <t>EQUIPOS</t>
  </si>
  <si>
    <t>CATEGORIA</t>
  </si>
  <si>
    <t>DESCARGAS PRODUCCIÓN</t>
  </si>
  <si>
    <t>PRELIMINAR</t>
  </si>
  <si>
    <t>PRIMARIO</t>
  </si>
  <si>
    <t>FASE SECUNDARIA</t>
  </si>
  <si>
    <t>FASE TERCIARIA</t>
  </si>
  <si>
    <t>NO HAY EQUIPOS NI BOMBEO</t>
  </si>
  <si>
    <t>BOMBA TK 15 - HAY 2 (1 BACK UP)</t>
  </si>
  <si>
    <t>BOMBA TK 2 - HAY 2 (1 BACK UP)</t>
  </si>
  <si>
    <t>NO HAY BOMBEO</t>
  </si>
  <si>
    <t>NO HAY CONSUMO PARA INGRESAR</t>
  </si>
  <si>
    <t>CONSUMO DE DOS BOMBAS (1 BACK UP)</t>
  </si>
  <si>
    <t>CONSUMO DE LA CRIBA</t>
  </si>
  <si>
    <t>EL CONSUMO SE VA A LA SALIDA</t>
  </si>
  <si>
    <t>CONSUMO A LA SALIDA</t>
  </si>
  <si>
    <t>CONSUMO POR MANUAL</t>
  </si>
  <si>
    <t>BOMBA DE ENVIO A T ENF</t>
  </si>
  <si>
    <t>CONSUMO DE LA TORRE</t>
  </si>
  <si>
    <t>CIP RO</t>
  </si>
  <si>
    <t>BOMBA</t>
  </si>
  <si>
    <t>CHILLER + GENERADORES</t>
  </si>
  <si>
    <t>AGITADOR  + 2 BOMBAS NUEVAS + BOMBA CEN</t>
  </si>
  <si>
    <t>BOMBA ALIMENTACIÓN GEM</t>
  </si>
  <si>
    <t>BOMBA ENVIO LODOS</t>
  </si>
  <si>
    <t>SWINGMILL MOTOR FLOCULACIÓN</t>
  </si>
  <si>
    <t>SWINGMILL MOTOR EJE TORNILLO</t>
  </si>
  <si>
    <t>SWINGMILL MOTOR EJE LEVAS</t>
  </si>
  <si>
    <t>20% CONSUMO PROMEDIO ENE - AGO</t>
  </si>
  <si>
    <t>80% CONSUMO PROMEDIO ENE - AGO</t>
  </si>
  <si>
    <t>kw mixer Cationico</t>
  </si>
  <si>
    <t>Kw bomba polimero anionico</t>
  </si>
  <si>
    <t>bombas de recirculación</t>
  </si>
  <si>
    <t>Soplador (1/2)</t>
  </si>
  <si>
    <t>HORAS</t>
  </si>
  <si>
    <t>CONSUMOS</t>
  </si>
  <si>
    <t>BOMBA ALIMENTACIÓN RO</t>
  </si>
  <si>
    <t>Recirculación</t>
  </si>
  <si>
    <t>Bomba etapa 2</t>
  </si>
  <si>
    <t>Bomba Bangpu RO 2</t>
  </si>
  <si>
    <t>Bomba de alta</t>
  </si>
  <si>
    <t>Bomba salida rechazo</t>
  </si>
  <si>
    <t>Bomba alimentación RO</t>
  </si>
  <si>
    <t>Bombas de recirculación</t>
  </si>
  <si>
    <t>Mixer anionico</t>
  </si>
  <si>
    <t>Bomba polimero anionico</t>
  </si>
  <si>
    <t>Mixer Cationico</t>
  </si>
  <si>
    <t>Bomba polimero cationico</t>
  </si>
  <si>
    <t>Soplador 301</t>
  </si>
  <si>
    <t>VOLUMEN</t>
  </si>
  <si>
    <t>CONSUMO ENERGETICO</t>
  </si>
  <si>
    <t>kW POR EQUIPO</t>
  </si>
  <si>
    <t>HORAS DIA</t>
  </si>
  <si>
    <t>HORAS MES</t>
  </si>
  <si>
    <t>kW TOTALES</t>
  </si>
  <si>
    <t>COP Kw MES</t>
  </si>
  <si>
    <t>COP Kw M3</t>
  </si>
  <si>
    <t>LODOS PROMEDIO JUL - AGO -SEPT</t>
  </si>
  <si>
    <t>LAV TK</t>
  </si>
  <si>
    <t>QUIMICO GEM</t>
  </si>
  <si>
    <t>PRIMARIA</t>
  </si>
  <si>
    <t>SECUNDARIA</t>
  </si>
  <si>
    <t>TERCIARIA</t>
  </si>
  <si>
    <t>FASE</t>
  </si>
  <si>
    <t>CONSUMO KW</t>
  </si>
  <si>
    <t>$ CONSUMO KW</t>
  </si>
  <si>
    <t>$ KW M3</t>
  </si>
  <si>
    <t>$ NOMINA/M3</t>
  </si>
  <si>
    <t>QUIMICOS</t>
  </si>
  <si>
    <t>$ TOTAL M3</t>
  </si>
  <si>
    <t>$ TOTAL ACUMULADO</t>
  </si>
  <si>
    <t>TIEMPO DE 8H</t>
  </si>
  <si>
    <t>alimentación RO2</t>
  </si>
  <si>
    <t>DIAS EFECTIVOS</t>
  </si>
  <si>
    <t>kW POR LINEA</t>
  </si>
  <si>
    <t>REACTIVOS</t>
  </si>
  <si>
    <t>COP REACTIVOS M3</t>
  </si>
  <si>
    <t>COP REACTIVOS MES</t>
  </si>
  <si>
    <t xml:space="preserve">ENERGIA </t>
  </si>
  <si>
    <t>TOTAL LT MES</t>
  </si>
  <si>
    <t>$LVTK/M3</t>
  </si>
  <si>
    <t>NOMINA /M3</t>
  </si>
  <si>
    <t>NOMINA MENSUAL</t>
  </si>
  <si>
    <t>INDICADOR PROMEDIO</t>
  </si>
  <si>
    <t>$ LINEA</t>
  </si>
  <si>
    <t>$ ACUMULADO</t>
  </si>
  <si>
    <t>CANTIDAD DE LODO GENERADO M3</t>
  </si>
  <si>
    <t>EXTRACCIÓN DEL POZO</t>
  </si>
  <si>
    <t>EXTRACCION 23H/DIA</t>
  </si>
  <si>
    <t>BOMBA DE EXTRACCION</t>
  </si>
  <si>
    <t>SALIDA TORRE DE AIREACIÓN</t>
  </si>
  <si>
    <t>BOMBAS DOSIFICADORAS</t>
  </si>
  <si>
    <t>INGRESO PISCINA 1</t>
  </si>
  <si>
    <t>PURGA PISCINA 1</t>
  </si>
  <si>
    <t>SALIDA PISCINA 1</t>
  </si>
  <si>
    <t>PURGA PISCINA 2</t>
  </si>
  <si>
    <t>REBOSE P2</t>
  </si>
  <si>
    <t>VERTIMIENTO</t>
  </si>
  <si>
    <t>SALIDA PISCINA 2</t>
  </si>
  <si>
    <t>ENVIO A UF</t>
  </si>
  <si>
    <t>BOMBA ALIMENTACIÓN UF</t>
  </si>
  <si>
    <t>SALIDA CARCASA</t>
  </si>
  <si>
    <t>ENTRADA UF</t>
  </si>
  <si>
    <t>SALIDA UF PISCINA 3</t>
  </si>
  <si>
    <t>SALIDA UF TK RECIRCULACIÓN</t>
  </si>
  <si>
    <t xml:space="preserve">PISCINA 3 </t>
  </si>
  <si>
    <t>SALIDA PISCINA 3 UF RETROLAVADOS</t>
  </si>
  <si>
    <t>BOMBA RETROLAVADOS</t>
  </si>
  <si>
    <t>SALIDA RETROLAVADOS</t>
  </si>
  <si>
    <t>SALIDA A TK 60</t>
  </si>
  <si>
    <t>BOMBA COAGULANTE</t>
  </si>
  <si>
    <t>BOMBA DE SODA</t>
  </si>
  <si>
    <t>CEB Y CIP</t>
  </si>
  <si>
    <t>BOMBA CIP</t>
  </si>
  <si>
    <t>QUIMICO</t>
  </si>
  <si>
    <t>QUIMICO RO</t>
  </si>
  <si>
    <t>SEGUNDOS</t>
  </si>
  <si>
    <t xml:space="preserve">CEB </t>
  </si>
  <si>
    <t>TANQUE HOMOGENEIZADOR extraido  - enviado uf</t>
  </si>
  <si>
    <t>Kg a disposición</t>
  </si>
  <si>
    <t>RESIDUOS LAVADO DE TANQUES</t>
  </si>
  <si>
    <t>$ Disposición</t>
  </si>
  <si>
    <t>$ Total Disposición</t>
  </si>
  <si>
    <t>MANO DE OBRA LAVADO DE TANQUES</t>
  </si>
  <si>
    <t>2 M3</t>
  </si>
  <si>
    <t>15 M3</t>
  </si>
  <si>
    <t>30 M3</t>
  </si>
  <si>
    <t>60 M3</t>
  </si>
  <si>
    <t>MANO DE OBRA LAV TK</t>
  </si>
  <si>
    <t>RESIDUOS LAV TK</t>
  </si>
  <si>
    <t>RESIDUOS LAV TK(Transporte y disposicion - mota, hilo, piedra pomes)</t>
  </si>
  <si>
    <t>LODOS GEM</t>
  </si>
  <si>
    <t>RESIDUOS GEM</t>
  </si>
  <si>
    <t>$ Viajes</t>
  </si>
  <si>
    <t>$ Total transporte</t>
  </si>
  <si>
    <t>$ Transporte canecas</t>
  </si>
  <si>
    <t>Kg a disposición lodo GEM</t>
  </si>
  <si>
    <t>$ Disposición lodo GEM</t>
  </si>
  <si>
    <t>$ Total Disposición lodo GEM</t>
  </si>
  <si>
    <t>$ Transporte Lodo GEM</t>
  </si>
  <si>
    <t>$ Viajes Lodo GEM</t>
  </si>
  <si>
    <t>$ Total transporte Lodo GEM</t>
  </si>
  <si>
    <t>RESIDUOS CANECAS</t>
  </si>
  <si>
    <t>Kg a disposición lodo CANECAS</t>
  </si>
  <si>
    <t>$ Disposición lodo CANECAS</t>
  </si>
  <si>
    <t>$ Total Disposición lodo CANECAS</t>
  </si>
  <si>
    <t>MEMBRANAS</t>
  </si>
  <si>
    <t>$ MEMBRANA TORAY</t>
  </si>
  <si>
    <t>CANTIDAD DE MEMBRANAS TORAY</t>
  </si>
  <si>
    <t>$ Total MEMBRANAS TORAY</t>
  </si>
  <si>
    <t>$ MEMBRANA KUBOTA</t>
  </si>
  <si>
    <t>CANTIDAD DE MEMBRANAS KUBOTA</t>
  </si>
  <si>
    <t>$ Total MEMBRANAS KUBOTA</t>
  </si>
  <si>
    <t xml:space="preserve">$ Total MEMBRANAS </t>
  </si>
  <si>
    <t>$ Total MEMBRANAS ANUAL</t>
  </si>
  <si>
    <t>$ Total MEMBRANAS MENSUAL</t>
  </si>
  <si>
    <t>AÑOS DE DEPRECIACIÓN</t>
  </si>
  <si>
    <t>MEMBRANAS FASE 2</t>
  </si>
  <si>
    <t>MEMBRANAS RO</t>
  </si>
  <si>
    <t>$ Total MEMBRANAS RO1</t>
  </si>
  <si>
    <t>$ MEMBRANA ETAPA 1</t>
  </si>
  <si>
    <t>CANTIDAD DE MEMBRANAS E1</t>
  </si>
  <si>
    <t>$ Total MEMBRANAS E1</t>
  </si>
  <si>
    <t>$ MEMBRANA ETAPA 2</t>
  </si>
  <si>
    <t>CANTIDAD DE MEMBRANAS E2</t>
  </si>
  <si>
    <t>$ Total MEMBRANAS E2</t>
  </si>
  <si>
    <t>MEMBRANAS RO 2</t>
  </si>
  <si>
    <t>$ MEMBRANA RO2</t>
  </si>
  <si>
    <t>CANTIDAD DE MEMBRANAS RO2</t>
  </si>
  <si>
    <t>$ Total MEMBRANAS RO2</t>
  </si>
  <si>
    <t>CARTUCHOS</t>
  </si>
  <si>
    <t>$ UNIDAD CARTUCHO</t>
  </si>
  <si>
    <t>CANTIDAD DE CARTUCHOS X MES</t>
  </si>
  <si>
    <t>$ Total CARTUCHOS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</si>
</sst>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_-&quot;$&quot;\ * #,##0_-;\-&quot;$&quot;\ * #,##0_-;_-&quot;$&quot;\ * &quot;-&quot;??_-;_-@_-"/>
    <numFmt numFmtId="166" formatCode="_-* #,##0_-;\-* #,##0_-;_-* &quot;-&quot;??_-;_-@_-"/>
    <numFmt numFmtId="167" formatCode="0.0E+00"/>
    <numFmt numFmtId="168" formatCode="_-&quot;$&quot;\ * #,##0.0_-;\-&quot;$&quot;\ * #,##0.0_-;_-&quot;$&quot;\ * &quot;-&quot;??_-;_-@_-"/>
    <numFmt numFmtId="169" formatCode="&quot;$&quot;\ #,##0.0"/>
    <numFmt numFmtId="170" formatCode="&quot;$&quot;\ #,##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55">
    <xf numFmtId="0" fontId="0" fillId="0" borderId="0" xfId="0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wrapText="1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16" fontId="0" fillId="2" borderId="2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1" applyNumberFormat="1" applyFont="1" applyFill="1" applyBorder="1"/>
    <xf numFmtId="0" fontId="0" fillId="0" borderId="0" xfId="0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0" fillId="2" borderId="20" xfId="0" applyFill="1" applyBorder="1"/>
    <xf numFmtId="0" fontId="0" fillId="2" borderId="0" xfId="0" applyFill="1" applyAlignment="1">
      <alignment horizontal="center" wrapText="1"/>
    </xf>
    <xf numFmtId="3" fontId="0" fillId="2" borderId="1" xfId="0" applyNumberFormat="1" applyFill="1" applyBorder="1"/>
    <xf numFmtId="0" fontId="0" fillId="2" borderId="20" xfId="0" applyFill="1" applyBorder="1" applyAlignment="1">
      <alignment horizontal="center"/>
    </xf>
    <xf numFmtId="0" fontId="0" fillId="2" borderId="19" xfId="0" applyFill="1" applyBorder="1"/>
    <xf numFmtId="0" fontId="0" fillId="2" borderId="21" xfId="0" applyFill="1" applyBorder="1"/>
    <xf numFmtId="3" fontId="0" fillId="2" borderId="0" xfId="0" applyNumberFormat="1" applyFill="1"/>
    <xf numFmtId="0" fontId="0" fillId="2" borderId="20" xfId="0" applyFill="1" applyBorder="1" applyAlignment="1">
      <alignment horizontal="center" vertical="center"/>
    </xf>
    <xf numFmtId="166" fontId="0" fillId="2" borderId="0" xfId="2" applyNumberFormat="1" applyFont="1" applyFill="1" applyBorder="1"/>
    <xf numFmtId="165" fontId="0" fillId="2" borderId="0" xfId="0" applyNumberFormat="1" applyFill="1" applyAlignment="1">
      <alignment horizontal="center" vertical="center" wrapText="1"/>
    </xf>
    <xf numFmtId="165" fontId="0" fillId="12" borderId="0" xfId="0" applyNumberFormat="1" applyFill="1"/>
    <xf numFmtId="165" fontId="0" fillId="12" borderId="0" xfId="1" applyNumberFormat="1" applyFont="1" applyFill="1" applyBorder="1"/>
    <xf numFmtId="0" fontId="0" fillId="2" borderId="2" xfId="0" applyFill="1" applyBorder="1" applyAlignment="1">
      <alignment horizontal="center" vertical="center"/>
    </xf>
    <xf numFmtId="165" fontId="0" fillId="2" borderId="1" xfId="0" applyNumberFormat="1" applyFill="1" applyBorder="1"/>
    <xf numFmtId="0" fontId="0" fillId="3" borderId="0" xfId="0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1" fontId="0" fillId="2" borderId="1" xfId="0" applyNumberFormat="1" applyFill="1" applyBorder="1"/>
    <xf numFmtId="169" fontId="0" fillId="2" borderId="1" xfId="0" applyNumberFormat="1" applyFill="1" applyBorder="1"/>
    <xf numFmtId="44" fontId="0" fillId="2" borderId="1" xfId="1" applyFont="1" applyFill="1" applyBorder="1"/>
    <xf numFmtId="0" fontId="0" fillId="2" borderId="25" xfId="0" applyFill="1" applyBorder="1" applyAlignment="1">
      <alignment horizontal="left"/>
    </xf>
    <xf numFmtId="0" fontId="0" fillId="2" borderId="25" xfId="0" applyFill="1" applyBorder="1"/>
    <xf numFmtId="169" fontId="0" fillId="2" borderId="26" xfId="0" applyNumberFormat="1" applyFill="1" applyBorder="1"/>
    <xf numFmtId="169" fontId="0" fillId="2" borderId="33" xfId="0" applyNumberFormat="1" applyFill="1" applyBorder="1"/>
    <xf numFmtId="0" fontId="0" fillId="2" borderId="36" xfId="0" applyFill="1" applyBorder="1"/>
    <xf numFmtId="169" fontId="0" fillId="2" borderId="37" xfId="0" applyNumberFormat="1" applyFill="1" applyBorder="1"/>
    <xf numFmtId="0" fontId="0" fillId="2" borderId="36" xfId="0" applyFill="1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168" fontId="0" fillId="0" borderId="1" xfId="1" applyNumberFormat="1" applyFont="1" applyBorder="1"/>
    <xf numFmtId="165" fontId="0" fillId="0" borderId="1" xfId="1" applyNumberFormat="1" applyFont="1" applyBorder="1"/>
    <xf numFmtId="165" fontId="0" fillId="0" borderId="1" xfId="0" applyNumberFormat="1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165" fontId="0" fillId="2" borderId="0" xfId="1" applyNumberFormat="1" applyFont="1" applyFill="1" applyAlignment="1">
      <alignment wrapText="1"/>
    </xf>
    <xf numFmtId="1" fontId="0" fillId="0" borderId="0" xfId="0" applyNumberFormat="1"/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0" fontId="0" fillId="2" borderId="25" xfId="0" applyFill="1" applyBorder="1" applyAlignment="1">
      <alignment horizontal="center"/>
    </xf>
    <xf numFmtId="2" fontId="0" fillId="2" borderId="25" xfId="0" applyNumberFormat="1" applyFill="1" applyBorder="1"/>
    <xf numFmtId="169" fontId="0" fillId="2" borderId="25" xfId="0" applyNumberFormat="1" applyFill="1" applyBorder="1"/>
    <xf numFmtId="0" fontId="0" fillId="2" borderId="36" xfId="0" applyFill="1" applyBorder="1" applyAlignment="1">
      <alignment horizontal="center"/>
    </xf>
    <xf numFmtId="2" fontId="0" fillId="2" borderId="36" xfId="0" applyNumberFormat="1" applyFill="1" applyBorder="1"/>
    <xf numFmtId="169" fontId="0" fillId="2" borderId="36" xfId="0" applyNumberFormat="1" applyFill="1" applyBorder="1"/>
    <xf numFmtId="164" fontId="0" fillId="2" borderId="36" xfId="0" applyNumberFormat="1" applyFill="1" applyBorder="1"/>
    <xf numFmtId="0" fontId="0" fillId="2" borderId="30" xfId="0" applyFill="1" applyBorder="1" applyAlignment="1">
      <alignment horizontal="center"/>
    </xf>
    <xf numFmtId="2" fontId="0" fillId="2" borderId="30" xfId="0" applyNumberFormat="1" applyFill="1" applyBorder="1"/>
    <xf numFmtId="0" fontId="0" fillId="2" borderId="30" xfId="0" applyFill="1" applyBorder="1"/>
    <xf numFmtId="0" fontId="0" fillId="2" borderId="30" xfId="0" applyFill="1" applyBorder="1" applyAlignment="1">
      <alignment horizontal="left"/>
    </xf>
    <xf numFmtId="169" fontId="0" fillId="2" borderId="30" xfId="0" applyNumberFormat="1" applyFill="1" applyBorder="1"/>
    <xf numFmtId="169" fontId="0" fillId="2" borderId="41" xfId="0" applyNumberFormat="1" applyFill="1" applyBorder="1"/>
    <xf numFmtId="164" fontId="0" fillId="2" borderId="25" xfId="0" applyNumberFormat="1" applyFill="1" applyBorder="1"/>
    <xf numFmtId="0" fontId="0" fillId="2" borderId="15" xfId="0" applyFill="1" applyBorder="1"/>
    <xf numFmtId="0" fontId="0" fillId="12" borderId="24" xfId="0" applyFill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0" fontId="0" fillId="15" borderId="25" xfId="0" applyFill="1" applyBorder="1" applyAlignment="1">
      <alignment horizontal="center"/>
    </xf>
    <xf numFmtId="0" fontId="0" fillId="15" borderId="32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34" xfId="0" applyFill="1" applyBorder="1" applyAlignment="1">
      <alignment horizontal="center"/>
    </xf>
    <xf numFmtId="0" fontId="0" fillId="15" borderId="36" xfId="0" applyFill="1" applyBorder="1" applyAlignment="1">
      <alignment horizontal="center"/>
    </xf>
    <xf numFmtId="164" fontId="0" fillId="2" borderId="11" xfId="0" applyNumberFormat="1" applyFill="1" applyBorder="1"/>
    <xf numFmtId="164" fontId="0" fillId="2" borderId="45" xfId="0" applyNumberFormat="1" applyFill="1" applyBorder="1"/>
    <xf numFmtId="0" fontId="0" fillId="2" borderId="31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2" xfId="0" applyFill="1" applyBorder="1"/>
    <xf numFmtId="0" fontId="0" fillId="2" borderId="11" xfId="0" applyFill="1" applyBorder="1"/>
    <xf numFmtId="0" fontId="0" fillId="2" borderId="31" xfId="0" applyFill="1" applyBorder="1"/>
    <xf numFmtId="2" fontId="0" fillId="2" borderId="2" xfId="0" applyNumberFormat="1" applyFill="1" applyBorder="1"/>
    <xf numFmtId="0" fontId="0" fillId="2" borderId="39" xfId="0" applyFill="1" applyBorder="1"/>
    <xf numFmtId="1" fontId="0" fillId="2" borderId="11" xfId="0" applyNumberFormat="1" applyFill="1" applyBorder="1"/>
    <xf numFmtId="0" fontId="0" fillId="2" borderId="45" xfId="0" applyFill="1" applyBorder="1"/>
    <xf numFmtId="0" fontId="0" fillId="2" borderId="35" xfId="0" applyFill="1" applyBorder="1"/>
    <xf numFmtId="2" fontId="0" fillId="2" borderId="31" xfId="0" applyNumberFormat="1" applyFill="1" applyBorder="1" applyAlignment="1">
      <alignment horizontal="center"/>
    </xf>
    <xf numFmtId="169" fontId="0" fillId="2" borderId="0" xfId="0" applyNumberFormat="1" applyFill="1"/>
    <xf numFmtId="169" fontId="0" fillId="2" borderId="0" xfId="0" applyNumberFormat="1" applyFill="1" applyAlignment="1">
      <alignment horizontal="center" vertical="center"/>
    </xf>
    <xf numFmtId="169" fontId="0" fillId="2" borderId="13" xfId="0" applyNumberFormat="1" applyFill="1" applyBorder="1"/>
    <xf numFmtId="169" fontId="0" fillId="2" borderId="48" xfId="0" applyNumberFormat="1" applyFill="1" applyBorder="1"/>
    <xf numFmtId="0" fontId="0" fillId="15" borderId="46" xfId="0" applyFill="1" applyBorder="1" applyAlignment="1">
      <alignment horizontal="center"/>
    </xf>
    <xf numFmtId="0" fontId="0" fillId="15" borderId="40" xfId="0" applyFill="1" applyBorder="1" applyAlignment="1">
      <alignment horizontal="center"/>
    </xf>
    <xf numFmtId="0" fontId="0" fillId="10" borderId="46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169" fontId="0" fillId="2" borderId="54" xfId="0" applyNumberFormat="1" applyFill="1" applyBorder="1"/>
    <xf numFmtId="169" fontId="0" fillId="2" borderId="11" xfId="0" applyNumberFormat="1" applyFill="1" applyBorder="1"/>
    <xf numFmtId="169" fontId="0" fillId="2" borderId="6" xfId="0" applyNumberFormat="1" applyFill="1" applyBorder="1"/>
    <xf numFmtId="169" fontId="0" fillId="2" borderId="45" xfId="0" applyNumberFormat="1" applyFill="1" applyBorder="1"/>
    <xf numFmtId="169" fontId="0" fillId="2" borderId="10" xfId="0" applyNumberFormat="1" applyFill="1" applyBorder="1"/>
    <xf numFmtId="0" fontId="0" fillId="2" borderId="24" xfId="0" applyFill="1" applyBorder="1"/>
    <xf numFmtId="0" fontId="0" fillId="2" borderId="32" xfId="0" applyFill="1" applyBorder="1"/>
    <xf numFmtId="2" fontId="0" fillId="2" borderId="32" xfId="0" applyNumberFormat="1" applyFill="1" applyBorder="1" applyAlignment="1">
      <alignment horizontal="center"/>
    </xf>
    <xf numFmtId="0" fontId="0" fillId="2" borderId="34" xfId="0" applyFill="1" applyBorder="1"/>
    <xf numFmtId="0" fontId="0" fillId="2" borderId="46" xfId="0" applyFill="1" applyBorder="1"/>
    <xf numFmtId="169" fontId="0" fillId="2" borderId="24" xfId="0" applyNumberFormat="1" applyFill="1" applyBorder="1"/>
    <xf numFmtId="169" fontId="0" fillId="2" borderId="32" xfId="0" applyNumberFormat="1" applyFill="1" applyBorder="1"/>
    <xf numFmtId="169" fontId="0" fillId="2" borderId="34" xfId="0" applyNumberFormat="1" applyFill="1" applyBorder="1"/>
    <xf numFmtId="170" fontId="0" fillId="2" borderId="11" xfId="0" applyNumberFormat="1" applyFill="1" applyBorder="1"/>
    <xf numFmtId="170" fontId="0" fillId="2" borderId="45" xfId="0" applyNumberFormat="1" applyFill="1" applyBorder="1"/>
    <xf numFmtId="169" fontId="0" fillId="2" borderId="14" xfId="0" applyNumberFormat="1" applyFill="1" applyBorder="1"/>
    <xf numFmtId="169" fontId="0" fillId="2" borderId="15" xfId="0" applyNumberFormat="1" applyFill="1" applyBorder="1"/>
    <xf numFmtId="169" fontId="0" fillId="2" borderId="16" xfId="0" applyNumberFormat="1" applyFill="1" applyBorder="1"/>
    <xf numFmtId="169" fontId="0" fillId="2" borderId="17" xfId="0" applyNumberFormat="1" applyFill="1" applyBorder="1"/>
    <xf numFmtId="169" fontId="0" fillId="2" borderId="18" xfId="0" applyNumberFormat="1" applyFill="1" applyBorder="1"/>
    <xf numFmtId="169" fontId="0" fillId="2" borderId="19" xfId="0" applyNumberFormat="1" applyFill="1" applyBorder="1"/>
    <xf numFmtId="169" fontId="0" fillId="2" borderId="20" xfId="0" applyNumberFormat="1" applyFill="1" applyBorder="1"/>
    <xf numFmtId="169" fontId="0" fillId="2" borderId="21" xfId="0" applyNumberFormat="1" applyFill="1" applyBorder="1"/>
    <xf numFmtId="169" fontId="0" fillId="2" borderId="17" xfId="0" applyNumberFormat="1" applyFill="1" applyBorder="1" applyAlignment="1">
      <alignment horizontal="center" vertical="center"/>
    </xf>
    <xf numFmtId="169" fontId="0" fillId="2" borderId="18" xfId="0" applyNumberFormat="1" applyFill="1" applyBorder="1" applyAlignment="1">
      <alignment horizontal="center" vertical="center"/>
    </xf>
    <xf numFmtId="0" fontId="0" fillId="2" borderId="54" xfId="0" applyFill="1" applyBorder="1"/>
    <xf numFmtId="2" fontId="0" fillId="2" borderId="11" xfId="0" applyNumberFormat="1" applyFill="1" applyBorder="1" applyAlignment="1">
      <alignment horizontal="center"/>
    </xf>
    <xf numFmtId="0" fontId="0" fillId="12" borderId="38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15" borderId="39" xfId="0" applyFill="1" applyBorder="1" applyAlignment="1">
      <alignment horizontal="center"/>
    </xf>
    <xf numFmtId="169" fontId="0" fillId="2" borderId="33" xfId="0" applyNumberFormat="1" applyFill="1" applyBorder="1" applyAlignment="1">
      <alignment vertical="center"/>
    </xf>
    <xf numFmtId="169" fontId="0" fillId="2" borderId="55" xfId="0" applyNumberFormat="1" applyFill="1" applyBorder="1"/>
    <xf numFmtId="169" fontId="0" fillId="2" borderId="56" xfId="0" applyNumberFormat="1" applyFill="1" applyBorder="1"/>
    <xf numFmtId="169" fontId="0" fillId="2" borderId="57" xfId="0" applyNumberFormat="1" applyFill="1" applyBorder="1"/>
    <xf numFmtId="169" fontId="0" fillId="2" borderId="59" xfId="0" applyNumberFormat="1" applyFill="1" applyBorder="1"/>
    <xf numFmtId="169" fontId="0" fillId="2" borderId="60" xfId="0" applyNumberFormat="1" applyFill="1" applyBorder="1"/>
    <xf numFmtId="169" fontId="0" fillId="2" borderId="61" xfId="0" applyNumberFormat="1" applyFill="1" applyBorder="1"/>
    <xf numFmtId="169" fontId="0" fillId="2" borderId="22" xfId="0" applyNumberFormat="1" applyFill="1" applyBorder="1"/>
    <xf numFmtId="169" fontId="0" fillId="2" borderId="58" xfId="0" applyNumberFormat="1" applyFill="1" applyBorder="1"/>
    <xf numFmtId="169" fontId="0" fillId="2" borderId="23" xfId="0" applyNumberFormat="1" applyFill="1" applyBorder="1"/>
    <xf numFmtId="169" fontId="0" fillId="2" borderId="58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4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165" fontId="0" fillId="2" borderId="0" xfId="0" applyNumberFormat="1" applyFill="1"/>
    <xf numFmtId="0" fontId="0" fillId="2" borderId="40" xfId="0" applyFill="1" applyBorder="1" applyAlignment="1">
      <alignment horizontal="center"/>
    </xf>
    <xf numFmtId="0" fontId="0" fillId="2" borderId="36" xfId="0" applyFill="1" applyBorder="1" applyAlignment="1">
      <alignment vertical="center"/>
    </xf>
    <xf numFmtId="0" fontId="0" fillId="2" borderId="47" xfId="0" applyFill="1" applyBorder="1"/>
    <xf numFmtId="169" fontId="0" fillId="2" borderId="47" xfId="0" applyNumberFormat="1" applyFill="1" applyBorder="1"/>
    <xf numFmtId="169" fontId="0" fillId="2" borderId="52" xfId="0" applyNumberFormat="1" applyFill="1" applyBorder="1"/>
    <xf numFmtId="2" fontId="0" fillId="2" borderId="47" xfId="0" applyNumberFormat="1" applyFill="1" applyBorder="1"/>
    <xf numFmtId="165" fontId="0" fillId="0" borderId="0" xfId="0" applyNumberFormat="1"/>
    <xf numFmtId="168" fontId="7" fillId="0" borderId="1" xfId="1" applyNumberFormat="1" applyFont="1" applyBorder="1"/>
    <xf numFmtId="166" fontId="0" fillId="0" borderId="1" xfId="2" applyNumberFormat="1" applyFont="1" applyBorder="1"/>
    <xf numFmtId="165" fontId="0" fillId="0" borderId="0" xfId="1" applyNumberFormat="1" applyFont="1"/>
    <xf numFmtId="0" fontId="0" fillId="2" borderId="51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4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2" borderId="49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/>
    </xf>
    <xf numFmtId="0" fontId="0" fillId="9" borderId="3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 wrapText="1"/>
    </xf>
    <xf numFmtId="0" fontId="0" fillId="2" borderId="60" xfId="0" applyFill="1" applyBorder="1" applyAlignment="1">
      <alignment horizontal="center" vertical="center" wrapText="1"/>
    </xf>
    <xf numFmtId="0" fontId="0" fillId="2" borderId="61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9" borderId="40" xfId="0" applyFill="1" applyBorder="1" applyAlignment="1">
      <alignment horizontal="center" vertical="center"/>
    </xf>
    <xf numFmtId="0" fontId="0" fillId="9" borderId="42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9" borderId="63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169" fontId="0" fillId="2" borderId="11" xfId="0" applyNumberFormat="1" applyFill="1" applyBorder="1" applyAlignment="1">
      <alignment horizontal="center" vertical="center"/>
    </xf>
    <xf numFmtId="0" fontId="0" fillId="15" borderId="2" xfId="0" applyFill="1" applyBorder="1" applyAlignment="1">
      <alignment horizontal="center"/>
    </xf>
    <xf numFmtId="169" fontId="0" fillId="2" borderId="1" xfId="0" applyNumberFormat="1" applyFill="1" applyBorder="1" applyAlignment="1">
      <alignment horizontal="center" vertical="center"/>
    </xf>
    <xf numFmtId="169" fontId="0" fillId="2" borderId="33" xfId="0" applyNumberFormat="1" applyFill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69" fontId="0" fillId="2" borderId="30" xfId="0" applyNumberFormat="1" applyFill="1" applyBorder="1" applyAlignment="1">
      <alignment horizontal="center" vertical="center"/>
    </xf>
    <xf numFmtId="169" fontId="0" fillId="2" borderId="13" xfId="0" applyNumberFormat="1" applyFill="1" applyBorder="1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46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2" borderId="13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2" borderId="17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6" fillId="6" borderId="27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6" fillId="13" borderId="27" xfId="0" applyFont="1" applyFill="1" applyBorder="1" applyAlignment="1">
      <alignment horizontal="center"/>
    </xf>
    <xf numFmtId="0" fontId="6" fillId="13" borderId="28" xfId="0" applyFont="1" applyFill="1" applyBorder="1" applyAlignment="1">
      <alignment horizontal="center"/>
    </xf>
    <xf numFmtId="0" fontId="6" fillId="13" borderId="29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9" borderId="2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6" fillId="11" borderId="24" xfId="0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/>
    </xf>
    <xf numFmtId="0" fontId="6" fillId="11" borderId="26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11" borderId="22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165" fontId="0" fillId="2" borderId="15" xfId="1" applyNumberFormat="1" applyFont="1" applyFill="1" applyBorder="1" applyAlignment="1">
      <alignment horizontal="center" vertical="center" wrapText="1"/>
    </xf>
    <xf numFmtId="0" fontId="6" fillId="10" borderId="27" xfId="0" applyFont="1" applyFill="1" applyBorder="1" applyAlignment="1">
      <alignment horizontal="center"/>
    </xf>
    <xf numFmtId="0" fontId="6" fillId="10" borderId="28" xfId="0" applyFont="1" applyFill="1" applyBorder="1" applyAlignment="1">
      <alignment horizontal="center"/>
    </xf>
    <xf numFmtId="0" fontId="6" fillId="10" borderId="29" xfId="0" applyFont="1" applyFill="1" applyBorder="1" applyAlignment="1">
      <alignment horizontal="center"/>
    </xf>
    <xf numFmtId="0" fontId="0" fillId="10" borderId="14" xfId="0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10" borderId="23" xfId="0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6" fillId="8" borderId="27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0" fillId="2" borderId="47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jpe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jpe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jpe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23.jpe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65</xdr:row>
      <xdr:rowOff>64018</xdr:rowOff>
    </xdr:from>
    <xdr:to>
      <xdr:col>36</xdr:col>
      <xdr:colOff>299781</xdr:colOff>
      <xdr:row>74</xdr:row>
      <xdr:rowOff>120432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DD2FCF-B270-43A9-BCBF-7CFDC2A9E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037"/>
        <a:stretch/>
      </xdr:blipFill>
      <xdr:spPr>
        <a:xfrm>
          <a:off x="27117675" y="12484618"/>
          <a:ext cx="7738806" cy="1799490"/>
        </a:xfrm>
        <a:prstGeom prst="rect">
          <a:avLst/>
        </a:prstGeom>
      </xdr:spPr>
    </xdr:pic>
    <xdr:clientData/>
  </xdr:twoCellAnchor>
  <xdr:twoCellAnchor editAs="oneCell">
    <xdr:from>
      <xdr:col>12</xdr:col>
      <xdr:colOff>539969</xdr:colOff>
      <xdr:row>96</xdr:row>
      <xdr:rowOff>85395</xdr:rowOff>
    </xdr:from>
    <xdr:to>
      <xdr:col>18</xdr:col>
      <xdr:colOff>2660528</xdr:colOff>
      <xdr:row>123</xdr:row>
      <xdr:rowOff>15922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63A0A8-E7AE-4A33-B020-8B9E13A4FC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266"/>
        <a:stretch/>
      </xdr:blipFill>
      <xdr:spPr>
        <a:xfrm>
          <a:off x="9912569" y="18440070"/>
          <a:ext cx="7749834" cy="5074027"/>
        </a:xfrm>
        <a:prstGeom prst="rect">
          <a:avLst/>
        </a:prstGeom>
      </xdr:spPr>
    </xdr:pic>
    <xdr:clientData/>
  </xdr:twoCellAnchor>
  <xdr:twoCellAnchor editAs="oneCell">
    <xdr:from>
      <xdr:col>7</xdr:col>
      <xdr:colOff>228974</xdr:colOff>
      <xdr:row>23</xdr:row>
      <xdr:rowOff>53695</xdr:rowOff>
    </xdr:from>
    <xdr:to>
      <xdr:col>9</xdr:col>
      <xdr:colOff>462642</xdr:colOff>
      <xdr:row>28</xdr:row>
      <xdr:rowOff>126975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E405E55-C685-4779-BB2D-70C32A872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8749" y="4454245"/>
          <a:ext cx="1757668" cy="1025780"/>
        </a:xfrm>
        <a:prstGeom prst="rect">
          <a:avLst/>
        </a:prstGeom>
      </xdr:spPr>
    </xdr:pic>
    <xdr:clientData/>
  </xdr:twoCellAnchor>
  <xdr:twoCellAnchor editAs="oneCell">
    <xdr:from>
      <xdr:col>7</xdr:col>
      <xdr:colOff>65304</xdr:colOff>
      <xdr:row>1</xdr:row>
      <xdr:rowOff>84510</xdr:rowOff>
    </xdr:from>
    <xdr:to>
      <xdr:col>12</xdr:col>
      <xdr:colOff>18</xdr:colOff>
      <xdr:row>6</xdr:row>
      <xdr:rowOff>12594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7C2CF7F-EC7F-4A89-A99E-2436176B3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85079" y="275010"/>
          <a:ext cx="3487539" cy="961827"/>
        </a:xfrm>
        <a:prstGeom prst="rect">
          <a:avLst/>
        </a:prstGeom>
      </xdr:spPr>
    </xdr:pic>
    <xdr:clientData/>
  </xdr:twoCellAnchor>
  <xdr:twoCellAnchor editAs="oneCell">
    <xdr:from>
      <xdr:col>7</xdr:col>
      <xdr:colOff>115956</xdr:colOff>
      <xdr:row>8</xdr:row>
      <xdr:rowOff>74543</xdr:rowOff>
    </xdr:from>
    <xdr:to>
      <xdr:col>11</xdr:col>
      <xdr:colOff>364435</xdr:colOff>
      <xdr:row>14</xdr:row>
      <xdr:rowOff>119371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40FC07F-F397-4305-959B-2DBF8BD8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35731" y="1608068"/>
          <a:ext cx="3296479" cy="1187828"/>
        </a:xfrm>
        <a:prstGeom prst="rect">
          <a:avLst/>
        </a:prstGeom>
      </xdr:spPr>
    </xdr:pic>
    <xdr:clientData/>
  </xdr:twoCellAnchor>
  <xdr:twoCellAnchor editAs="oneCell">
    <xdr:from>
      <xdr:col>7</xdr:col>
      <xdr:colOff>144687</xdr:colOff>
      <xdr:row>16</xdr:row>
      <xdr:rowOff>42738</xdr:rowOff>
    </xdr:from>
    <xdr:to>
      <xdr:col>9</xdr:col>
      <xdr:colOff>235796</xdr:colOff>
      <xdr:row>20</xdr:row>
      <xdr:rowOff>163322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E6A12A8-169D-4466-ABE4-9FAA2DDD6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64462" y="3109788"/>
          <a:ext cx="1615109" cy="882584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190503</xdr:colOff>
      <xdr:row>33</xdr:row>
      <xdr:rowOff>54428</xdr:rowOff>
    </xdr:from>
    <xdr:to>
      <xdr:col>8</xdr:col>
      <xdr:colOff>406807</xdr:colOff>
      <xdr:row>39</xdr:row>
      <xdr:rowOff>103414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50830C5-8312-4A2A-8014-0A13AE639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10278" y="6359978"/>
          <a:ext cx="978304" cy="1191986"/>
        </a:xfrm>
        <a:prstGeom prst="rect">
          <a:avLst/>
        </a:prstGeom>
      </xdr:spPr>
    </xdr:pic>
    <xdr:clientData/>
  </xdr:twoCellAnchor>
  <xdr:twoCellAnchor editAs="oneCell">
    <xdr:from>
      <xdr:col>7</xdr:col>
      <xdr:colOff>97972</xdr:colOff>
      <xdr:row>52</xdr:row>
      <xdr:rowOff>55333</xdr:rowOff>
    </xdr:from>
    <xdr:to>
      <xdr:col>9</xdr:col>
      <xdr:colOff>127244</xdr:colOff>
      <xdr:row>58</xdr:row>
      <xdr:rowOff>114300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07F09EE-1267-4D20-8115-A4CD49C37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17747" y="9989908"/>
          <a:ext cx="1553272" cy="1201967"/>
        </a:xfrm>
        <a:prstGeom prst="rect">
          <a:avLst/>
        </a:prstGeom>
      </xdr:spPr>
    </xdr:pic>
    <xdr:clientData/>
  </xdr:twoCellAnchor>
  <xdr:twoCellAnchor editAs="oneCell">
    <xdr:from>
      <xdr:col>7</xdr:col>
      <xdr:colOff>97973</xdr:colOff>
      <xdr:row>62</xdr:row>
      <xdr:rowOff>130629</xdr:rowOff>
    </xdr:from>
    <xdr:to>
      <xdr:col>8</xdr:col>
      <xdr:colOff>487665</xdr:colOff>
      <xdr:row>68</xdr:row>
      <xdr:rowOff>45217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7BD2F5B-7967-4F2D-8D28-2EB9E7FD8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17748" y="11970204"/>
          <a:ext cx="1151692" cy="1076639"/>
        </a:xfrm>
        <a:prstGeom prst="rect">
          <a:avLst/>
        </a:prstGeom>
      </xdr:spPr>
    </xdr:pic>
    <xdr:clientData/>
  </xdr:twoCellAnchor>
  <xdr:twoCellAnchor editAs="oneCell">
    <xdr:from>
      <xdr:col>7</xdr:col>
      <xdr:colOff>48986</xdr:colOff>
      <xdr:row>72</xdr:row>
      <xdr:rowOff>27215</xdr:rowOff>
    </xdr:from>
    <xdr:to>
      <xdr:col>9</xdr:col>
      <xdr:colOff>203457</xdr:colOff>
      <xdr:row>77</xdr:row>
      <xdr:rowOff>143830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E5529AA-37ED-4FB6-AF33-33397BC12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8761" y="13800365"/>
          <a:ext cx="1678471" cy="1078639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</xdr:colOff>
      <xdr:row>79</xdr:row>
      <xdr:rowOff>29765</xdr:rowOff>
    </xdr:from>
    <xdr:to>
      <xdr:col>8</xdr:col>
      <xdr:colOff>648557</xdr:colOff>
      <xdr:row>84</xdr:row>
      <xdr:rowOff>160735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EBB1734-BA5B-472E-A8EA-59079CFAB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91212" y="15145940"/>
          <a:ext cx="1339120" cy="1083469"/>
        </a:xfrm>
        <a:prstGeom prst="rect">
          <a:avLst/>
        </a:prstGeom>
      </xdr:spPr>
    </xdr:pic>
    <xdr:clientData/>
  </xdr:twoCellAnchor>
  <xdr:twoCellAnchor editAs="oneCell">
    <xdr:from>
      <xdr:col>7</xdr:col>
      <xdr:colOff>232172</xdr:colOff>
      <xdr:row>86</xdr:row>
      <xdr:rowOff>41672</xdr:rowOff>
    </xdr:from>
    <xdr:to>
      <xdr:col>9</xdr:col>
      <xdr:colOff>367863</xdr:colOff>
      <xdr:row>93</xdr:row>
      <xdr:rowOff>91966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83DA681-6159-45E0-ABE0-29FD7D0F40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6758" b="3269"/>
        <a:stretch/>
      </xdr:blipFill>
      <xdr:spPr>
        <a:xfrm>
          <a:off x="6051947" y="16491347"/>
          <a:ext cx="1659691" cy="1383793"/>
        </a:xfrm>
        <a:prstGeom prst="rect">
          <a:avLst/>
        </a:prstGeom>
      </xdr:spPr>
    </xdr:pic>
    <xdr:clientData/>
  </xdr:twoCellAnchor>
  <xdr:twoCellAnchor editAs="oneCell">
    <xdr:from>
      <xdr:col>7</xdr:col>
      <xdr:colOff>72258</xdr:colOff>
      <xdr:row>96</xdr:row>
      <xdr:rowOff>39414</xdr:rowOff>
    </xdr:from>
    <xdr:to>
      <xdr:col>9</xdr:col>
      <xdr:colOff>709490</xdr:colOff>
      <xdr:row>105</xdr:row>
      <xdr:rowOff>124914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FE238F0-BD6D-4010-9E6A-AB927A382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033" y="18394089"/>
          <a:ext cx="2161232" cy="1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59121</xdr:colOff>
      <xdr:row>114</xdr:row>
      <xdr:rowOff>19706</xdr:rowOff>
    </xdr:from>
    <xdr:to>
      <xdr:col>8</xdr:col>
      <xdr:colOff>210967</xdr:colOff>
      <xdr:row>119</xdr:row>
      <xdr:rowOff>147207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9BAC3BF-297A-4529-A06F-5B7F6D434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78896" y="21803381"/>
          <a:ext cx="913846" cy="10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59122</xdr:colOff>
      <xdr:row>121</xdr:row>
      <xdr:rowOff>98534</xdr:rowOff>
    </xdr:from>
    <xdr:to>
      <xdr:col>8</xdr:col>
      <xdr:colOff>716018</xdr:colOff>
      <xdr:row>127</xdr:row>
      <xdr:rowOff>105436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466DDE6-8641-4440-AE5D-5DC507F8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78897" y="23215709"/>
          <a:ext cx="1418896" cy="1149901"/>
        </a:xfrm>
        <a:prstGeom prst="rect">
          <a:avLst/>
        </a:prstGeom>
      </xdr:spPr>
    </xdr:pic>
    <xdr:clientData/>
  </xdr:twoCellAnchor>
  <xdr:twoCellAnchor editAs="oneCell">
    <xdr:from>
      <xdr:col>7</xdr:col>
      <xdr:colOff>32659</xdr:colOff>
      <xdr:row>129</xdr:row>
      <xdr:rowOff>21771</xdr:rowOff>
    </xdr:from>
    <xdr:to>
      <xdr:col>9</xdr:col>
      <xdr:colOff>452352</xdr:colOff>
      <xdr:row>133</xdr:row>
      <xdr:rowOff>136071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37C76E6-032F-4EC7-BBF3-2BF7AD1CD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52434" y="24662946"/>
          <a:ext cx="1943693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91967</xdr:colOff>
      <xdr:row>135</xdr:row>
      <xdr:rowOff>59120</xdr:rowOff>
    </xdr:from>
    <xdr:to>
      <xdr:col>8</xdr:col>
      <xdr:colOff>426984</xdr:colOff>
      <xdr:row>141</xdr:row>
      <xdr:rowOff>43000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EA07EAA-BF9D-483C-A801-B2BA1457A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5755" t="7907"/>
        <a:stretch/>
      </xdr:blipFill>
      <xdr:spPr>
        <a:xfrm>
          <a:off x="5911742" y="25843295"/>
          <a:ext cx="1097017" cy="1126881"/>
        </a:xfrm>
        <a:prstGeom prst="rect">
          <a:avLst/>
        </a:prstGeom>
      </xdr:spPr>
    </xdr:pic>
    <xdr:clientData/>
  </xdr:twoCellAnchor>
  <xdr:twoCellAnchor editAs="oneCell">
    <xdr:from>
      <xdr:col>7</xdr:col>
      <xdr:colOff>83342</xdr:colOff>
      <xdr:row>143</xdr:row>
      <xdr:rowOff>107157</xdr:rowOff>
    </xdr:from>
    <xdr:to>
      <xdr:col>8</xdr:col>
      <xdr:colOff>657636</xdr:colOff>
      <xdr:row>149</xdr:row>
      <xdr:rowOff>119062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3C44E44-799B-441F-A7A5-34A0A2DF1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903117" y="27415332"/>
          <a:ext cx="1336294" cy="1154906"/>
        </a:xfrm>
        <a:prstGeom prst="rect">
          <a:avLst/>
        </a:prstGeom>
      </xdr:spPr>
    </xdr:pic>
    <xdr:clientData/>
  </xdr:twoCellAnchor>
  <xdr:twoCellAnchor editAs="oneCell">
    <xdr:from>
      <xdr:col>7</xdr:col>
      <xdr:colOff>125015</xdr:colOff>
      <xdr:row>151</xdr:row>
      <xdr:rowOff>56802</xdr:rowOff>
    </xdr:from>
    <xdr:to>
      <xdr:col>8</xdr:col>
      <xdr:colOff>530090</xdr:colOff>
      <xdr:row>156</xdr:row>
      <xdr:rowOff>142873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C0FD3C5-8C7C-4017-B092-1AAC0EFBE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44790" y="28888977"/>
          <a:ext cx="1167075" cy="1038572"/>
        </a:xfrm>
        <a:prstGeom prst="rect">
          <a:avLst/>
        </a:prstGeom>
      </xdr:spPr>
    </xdr:pic>
    <xdr:clientData/>
  </xdr:twoCellAnchor>
  <xdr:twoCellAnchor editAs="oneCell">
    <xdr:from>
      <xdr:col>7</xdr:col>
      <xdr:colOff>101203</xdr:colOff>
      <xdr:row>158</xdr:row>
      <xdr:rowOff>53578</xdr:rowOff>
    </xdr:from>
    <xdr:to>
      <xdr:col>10</xdr:col>
      <xdr:colOff>591593</xdr:colOff>
      <xdr:row>163</xdr:row>
      <xdr:rowOff>29766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0E899FD-49E6-4737-93F9-99116D91A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20978" y="30219253"/>
          <a:ext cx="2776390" cy="928688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142874</xdr:colOff>
      <xdr:row>168</xdr:row>
      <xdr:rowOff>83343</xdr:rowOff>
    </xdr:from>
    <xdr:to>
      <xdr:col>10</xdr:col>
      <xdr:colOff>732234</xdr:colOff>
      <xdr:row>174</xdr:row>
      <xdr:rowOff>92857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1ED4EED-9C05-4499-A85A-777C25EBB2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t="16880"/>
        <a:stretch/>
      </xdr:blipFill>
      <xdr:spPr>
        <a:xfrm>
          <a:off x="5962649" y="32154018"/>
          <a:ext cx="2875360" cy="11525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53</xdr:row>
      <xdr:rowOff>2</xdr:rowOff>
    </xdr:from>
    <xdr:to>
      <xdr:col>23</xdr:col>
      <xdr:colOff>152400</xdr:colOff>
      <xdr:row>62</xdr:row>
      <xdr:rowOff>78828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D57E780-0EAF-4888-9C05-B024A4BE75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037"/>
        <a:stretch/>
      </xdr:blipFill>
      <xdr:spPr>
        <a:xfrm>
          <a:off x="8124825" y="190502"/>
          <a:ext cx="7772400" cy="1798581"/>
        </a:xfrm>
        <a:prstGeom prst="rect">
          <a:avLst/>
        </a:prstGeom>
      </xdr:spPr>
    </xdr:pic>
    <xdr:clientData/>
  </xdr:twoCellAnchor>
  <xdr:twoCellAnchor editAs="oneCell">
    <xdr:from>
      <xdr:col>12</xdr:col>
      <xdr:colOff>539969</xdr:colOff>
      <xdr:row>77</xdr:row>
      <xdr:rowOff>85395</xdr:rowOff>
    </xdr:from>
    <xdr:to>
      <xdr:col>22</xdr:col>
      <xdr:colOff>692369</xdr:colOff>
      <xdr:row>104</xdr:row>
      <xdr:rowOff>15922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217625B-0715-42E4-8BD0-3D380EB987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266"/>
        <a:stretch/>
      </xdr:blipFill>
      <xdr:spPr>
        <a:xfrm>
          <a:off x="7902794" y="2218995"/>
          <a:ext cx="7772400" cy="5075013"/>
        </a:xfrm>
        <a:prstGeom prst="rect">
          <a:avLst/>
        </a:prstGeom>
      </xdr:spPr>
    </xdr:pic>
    <xdr:clientData/>
  </xdr:twoCellAnchor>
  <xdr:twoCellAnchor editAs="oneCell">
    <xdr:from>
      <xdr:col>7</xdr:col>
      <xdr:colOff>228974</xdr:colOff>
      <xdr:row>22</xdr:row>
      <xdr:rowOff>53695</xdr:rowOff>
    </xdr:from>
    <xdr:to>
      <xdr:col>9</xdr:col>
      <xdr:colOff>462642</xdr:colOff>
      <xdr:row>27</xdr:row>
      <xdr:rowOff>126975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F9493D-762B-378D-B01C-7B10AD2F9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8974" y="4244695"/>
          <a:ext cx="1757668" cy="1025780"/>
        </a:xfrm>
        <a:prstGeom prst="rect">
          <a:avLst/>
        </a:prstGeom>
      </xdr:spPr>
    </xdr:pic>
    <xdr:clientData/>
  </xdr:twoCellAnchor>
  <xdr:twoCellAnchor editAs="oneCell">
    <xdr:from>
      <xdr:col>7</xdr:col>
      <xdr:colOff>57977</xdr:colOff>
      <xdr:row>1</xdr:row>
      <xdr:rowOff>55202</xdr:rowOff>
    </xdr:from>
    <xdr:to>
      <xdr:col>11</xdr:col>
      <xdr:colOff>496956</xdr:colOff>
      <xdr:row>6</xdr:row>
      <xdr:rowOff>66210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A04FBB-C476-93AF-AB9B-0F37391C3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67977" y="245702"/>
          <a:ext cx="3486979" cy="963508"/>
        </a:xfrm>
        <a:prstGeom prst="rect">
          <a:avLst/>
        </a:prstGeom>
      </xdr:spPr>
    </xdr:pic>
    <xdr:clientData/>
  </xdr:twoCellAnchor>
  <xdr:twoCellAnchor editAs="oneCell">
    <xdr:from>
      <xdr:col>7</xdr:col>
      <xdr:colOff>115956</xdr:colOff>
      <xdr:row>8</xdr:row>
      <xdr:rowOff>74543</xdr:rowOff>
    </xdr:from>
    <xdr:to>
      <xdr:col>11</xdr:col>
      <xdr:colOff>364435</xdr:colOff>
      <xdr:row>14</xdr:row>
      <xdr:rowOff>119371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C988DB-9E0C-47D8-4092-5DA379079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25956" y="1598543"/>
          <a:ext cx="3296479" cy="1187828"/>
        </a:xfrm>
        <a:prstGeom prst="rect">
          <a:avLst/>
        </a:prstGeom>
      </xdr:spPr>
    </xdr:pic>
    <xdr:clientData/>
  </xdr:twoCellAnchor>
  <xdr:twoCellAnchor editAs="oneCell">
    <xdr:from>
      <xdr:col>7</xdr:col>
      <xdr:colOff>144687</xdr:colOff>
      <xdr:row>16</xdr:row>
      <xdr:rowOff>42738</xdr:rowOff>
    </xdr:from>
    <xdr:to>
      <xdr:col>9</xdr:col>
      <xdr:colOff>235796</xdr:colOff>
      <xdr:row>20</xdr:row>
      <xdr:rowOff>163322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69C6BEF-ECAD-0D41-3268-9F867B60C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60890" y="3090738"/>
          <a:ext cx="1615109" cy="882584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190503</xdr:colOff>
      <xdr:row>29</xdr:row>
      <xdr:rowOff>54428</xdr:rowOff>
    </xdr:from>
    <xdr:to>
      <xdr:col>8</xdr:col>
      <xdr:colOff>406807</xdr:colOff>
      <xdr:row>35</xdr:row>
      <xdr:rowOff>103414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C95D595-8D46-6F2F-CEE5-AB86BF7A8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3" y="5578928"/>
          <a:ext cx="978304" cy="1191986"/>
        </a:xfrm>
        <a:prstGeom prst="rect">
          <a:avLst/>
        </a:prstGeom>
      </xdr:spPr>
    </xdr:pic>
    <xdr:clientData/>
  </xdr:twoCellAnchor>
  <xdr:twoCellAnchor editAs="oneCell">
    <xdr:from>
      <xdr:col>7</xdr:col>
      <xdr:colOff>97972</xdr:colOff>
      <xdr:row>37</xdr:row>
      <xdr:rowOff>55333</xdr:rowOff>
    </xdr:from>
    <xdr:to>
      <xdr:col>9</xdr:col>
      <xdr:colOff>127244</xdr:colOff>
      <xdr:row>43</xdr:row>
      <xdr:rowOff>114300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A804192-417C-813A-9607-C13B4FA74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31972" y="7103833"/>
          <a:ext cx="1553272" cy="1201967"/>
        </a:xfrm>
        <a:prstGeom prst="rect">
          <a:avLst/>
        </a:prstGeom>
      </xdr:spPr>
    </xdr:pic>
    <xdr:clientData/>
  </xdr:twoCellAnchor>
  <xdr:twoCellAnchor editAs="oneCell">
    <xdr:from>
      <xdr:col>7</xdr:col>
      <xdr:colOff>97973</xdr:colOff>
      <xdr:row>45</xdr:row>
      <xdr:rowOff>130629</xdr:rowOff>
    </xdr:from>
    <xdr:to>
      <xdr:col>8</xdr:col>
      <xdr:colOff>487665</xdr:colOff>
      <xdr:row>51</xdr:row>
      <xdr:rowOff>67629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15F0F8E-AC81-66CD-9374-5430939C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31973" y="8703129"/>
          <a:ext cx="1151692" cy="10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48986</xdr:colOff>
      <xdr:row>53</xdr:row>
      <xdr:rowOff>27215</xdr:rowOff>
    </xdr:from>
    <xdr:to>
      <xdr:col>9</xdr:col>
      <xdr:colOff>203457</xdr:colOff>
      <xdr:row>58</xdr:row>
      <xdr:rowOff>143829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98C0DD3-2C52-DEAF-9CE2-FEFF85CDA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82986" y="10123715"/>
          <a:ext cx="1678471" cy="10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</xdr:colOff>
      <xdr:row>60</xdr:row>
      <xdr:rowOff>29765</xdr:rowOff>
    </xdr:from>
    <xdr:to>
      <xdr:col>8</xdr:col>
      <xdr:colOff>648557</xdr:colOff>
      <xdr:row>65</xdr:row>
      <xdr:rowOff>160734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CF30560-33AF-6441-F480-D4278CFB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6406" y="11471671"/>
          <a:ext cx="1339120" cy="1083469"/>
        </a:xfrm>
        <a:prstGeom prst="rect">
          <a:avLst/>
        </a:prstGeom>
      </xdr:spPr>
    </xdr:pic>
    <xdr:clientData/>
  </xdr:twoCellAnchor>
  <xdr:twoCellAnchor editAs="oneCell">
    <xdr:from>
      <xdr:col>7</xdr:col>
      <xdr:colOff>232172</xdr:colOff>
      <xdr:row>67</xdr:row>
      <xdr:rowOff>41672</xdr:rowOff>
    </xdr:from>
    <xdr:to>
      <xdr:col>9</xdr:col>
      <xdr:colOff>367863</xdr:colOff>
      <xdr:row>74</xdr:row>
      <xdr:rowOff>91965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8713110-1C91-594B-890D-3872746CD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6758" b="3269"/>
        <a:stretch/>
      </xdr:blipFill>
      <xdr:spPr>
        <a:xfrm>
          <a:off x="6052275" y="12811741"/>
          <a:ext cx="1659691" cy="1383793"/>
        </a:xfrm>
        <a:prstGeom prst="rect">
          <a:avLst/>
        </a:prstGeom>
      </xdr:spPr>
    </xdr:pic>
    <xdr:clientData/>
  </xdr:twoCellAnchor>
  <xdr:twoCellAnchor editAs="oneCell">
    <xdr:from>
      <xdr:col>7</xdr:col>
      <xdr:colOff>72258</xdr:colOff>
      <xdr:row>77</xdr:row>
      <xdr:rowOff>39414</xdr:rowOff>
    </xdr:from>
    <xdr:to>
      <xdr:col>9</xdr:col>
      <xdr:colOff>709490</xdr:colOff>
      <xdr:row>86</xdr:row>
      <xdr:rowOff>124914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11A2AF8-E51F-79D4-9473-37B92B758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361" y="14714483"/>
          <a:ext cx="2161232" cy="1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59121</xdr:colOff>
      <xdr:row>95</xdr:row>
      <xdr:rowOff>19706</xdr:rowOff>
    </xdr:from>
    <xdr:to>
      <xdr:col>8</xdr:col>
      <xdr:colOff>210967</xdr:colOff>
      <xdr:row>100</xdr:row>
      <xdr:rowOff>147206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4ECB851-BF17-2ED6-3E17-CE2545695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79224" y="18123775"/>
          <a:ext cx="913846" cy="10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59122</xdr:colOff>
      <xdr:row>102</xdr:row>
      <xdr:rowOff>98534</xdr:rowOff>
    </xdr:from>
    <xdr:to>
      <xdr:col>8</xdr:col>
      <xdr:colOff>716018</xdr:colOff>
      <xdr:row>108</xdr:row>
      <xdr:rowOff>105435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403337A-F05D-C41C-068C-9F12FE54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79225" y="19536103"/>
          <a:ext cx="1418896" cy="1149901"/>
        </a:xfrm>
        <a:prstGeom prst="rect">
          <a:avLst/>
        </a:prstGeom>
      </xdr:spPr>
    </xdr:pic>
    <xdr:clientData/>
  </xdr:twoCellAnchor>
  <xdr:twoCellAnchor editAs="oneCell">
    <xdr:from>
      <xdr:col>7</xdr:col>
      <xdr:colOff>32659</xdr:colOff>
      <xdr:row>110</xdr:row>
      <xdr:rowOff>21771</xdr:rowOff>
    </xdr:from>
    <xdr:to>
      <xdr:col>9</xdr:col>
      <xdr:colOff>452352</xdr:colOff>
      <xdr:row>114</xdr:row>
      <xdr:rowOff>136071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A3FE8F2-07CA-FE61-E9EE-468901C86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56516" y="20987657"/>
          <a:ext cx="1943693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91967</xdr:colOff>
      <xdr:row>116</xdr:row>
      <xdr:rowOff>59120</xdr:rowOff>
    </xdr:from>
    <xdr:to>
      <xdr:col>8</xdr:col>
      <xdr:colOff>426984</xdr:colOff>
      <xdr:row>122</xdr:row>
      <xdr:rowOff>43001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244124A-5072-661A-DF20-634BD3656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5755" t="7907"/>
        <a:stretch/>
      </xdr:blipFill>
      <xdr:spPr>
        <a:xfrm>
          <a:off x="5912070" y="22163689"/>
          <a:ext cx="1097017" cy="1126881"/>
        </a:xfrm>
        <a:prstGeom prst="rect">
          <a:avLst/>
        </a:prstGeom>
      </xdr:spPr>
    </xdr:pic>
    <xdr:clientData/>
  </xdr:twoCellAnchor>
  <xdr:twoCellAnchor editAs="oneCell">
    <xdr:from>
      <xdr:col>7</xdr:col>
      <xdr:colOff>83342</xdr:colOff>
      <xdr:row>124</xdr:row>
      <xdr:rowOff>107157</xdr:rowOff>
    </xdr:from>
    <xdr:to>
      <xdr:col>8</xdr:col>
      <xdr:colOff>657636</xdr:colOff>
      <xdr:row>130</xdr:row>
      <xdr:rowOff>119063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6FDAAD5-5398-51F7-7AED-0138FB7F1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99545" y="23741063"/>
          <a:ext cx="1336294" cy="1154906"/>
        </a:xfrm>
        <a:prstGeom prst="rect">
          <a:avLst/>
        </a:prstGeom>
      </xdr:spPr>
    </xdr:pic>
    <xdr:clientData/>
  </xdr:twoCellAnchor>
  <xdr:twoCellAnchor editAs="oneCell">
    <xdr:from>
      <xdr:col>7</xdr:col>
      <xdr:colOff>125015</xdr:colOff>
      <xdr:row>132</xdr:row>
      <xdr:rowOff>56802</xdr:rowOff>
    </xdr:from>
    <xdr:to>
      <xdr:col>8</xdr:col>
      <xdr:colOff>530090</xdr:colOff>
      <xdr:row>137</xdr:row>
      <xdr:rowOff>142874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A7A3E93-8098-D89A-D1AB-A77BF2B44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941218" y="25214708"/>
          <a:ext cx="1167075" cy="1038572"/>
        </a:xfrm>
        <a:prstGeom prst="rect">
          <a:avLst/>
        </a:prstGeom>
      </xdr:spPr>
    </xdr:pic>
    <xdr:clientData/>
  </xdr:twoCellAnchor>
  <xdr:twoCellAnchor editAs="oneCell">
    <xdr:from>
      <xdr:col>7</xdr:col>
      <xdr:colOff>101203</xdr:colOff>
      <xdr:row>139</xdr:row>
      <xdr:rowOff>53578</xdr:rowOff>
    </xdr:from>
    <xdr:to>
      <xdr:col>10</xdr:col>
      <xdr:colOff>591593</xdr:colOff>
      <xdr:row>144</xdr:row>
      <xdr:rowOff>29766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A65E98B2-0D4F-BA40-8BB9-49EFF476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17406" y="26544984"/>
          <a:ext cx="2776390" cy="928688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142874</xdr:colOff>
      <xdr:row>149</xdr:row>
      <xdr:rowOff>83343</xdr:rowOff>
    </xdr:from>
    <xdr:to>
      <xdr:col>10</xdr:col>
      <xdr:colOff>732234</xdr:colOff>
      <xdr:row>155</xdr:row>
      <xdr:rowOff>92858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A472827D-ACFE-6B6D-32CB-844C4CF5EF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16880"/>
        <a:stretch/>
      </xdr:blipFill>
      <xdr:spPr>
        <a:xfrm>
          <a:off x="5959077" y="28479749"/>
          <a:ext cx="2875360" cy="11525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4</xdr:row>
      <xdr:rowOff>358588</xdr:rowOff>
    </xdr:from>
    <xdr:to>
      <xdr:col>5</xdr:col>
      <xdr:colOff>0</xdr:colOff>
      <xdr:row>4</xdr:row>
      <xdr:rowOff>358588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2B2D5E3-E4C8-375D-0C77-8872D42C50FC}"/>
            </a:ext>
          </a:extLst>
        </xdr:cNvPr>
        <xdr:cNvCxnSpPr/>
      </xdr:nvCxnSpPr>
      <xdr:spPr>
        <a:xfrm>
          <a:off x="2493309" y="1692088"/>
          <a:ext cx="509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20170</xdr:colOff>
      <xdr:row>5</xdr:row>
      <xdr:rowOff>0</xdr:rowOff>
    </xdr:from>
    <xdr:to>
      <xdr:col>9</xdr:col>
      <xdr:colOff>10645</xdr:colOff>
      <xdr:row>5</xdr:row>
      <xdr:rowOff>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BD9D651F-3B14-4381-8D31-FAF242E97324}"/>
            </a:ext>
          </a:extLst>
        </xdr:cNvPr>
        <xdr:cNvCxnSpPr/>
      </xdr:nvCxnSpPr>
      <xdr:spPr>
        <a:xfrm>
          <a:off x="5656729" y="1703294"/>
          <a:ext cx="517151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5</xdr:row>
      <xdr:rowOff>0</xdr:rowOff>
    </xdr:from>
    <xdr:to>
      <xdr:col>16</xdr:col>
      <xdr:colOff>0</xdr:colOff>
      <xdr:row>5</xdr:row>
      <xdr:rowOff>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D20E71FB-3260-488D-886A-3BA0E5BF1674}"/>
            </a:ext>
          </a:extLst>
        </xdr:cNvPr>
        <xdr:cNvCxnSpPr/>
      </xdr:nvCxnSpPr>
      <xdr:spPr>
        <a:xfrm>
          <a:off x="10169338" y="1703294"/>
          <a:ext cx="48745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</xdr:colOff>
      <xdr:row>5</xdr:row>
      <xdr:rowOff>0</xdr:rowOff>
    </xdr:from>
    <xdr:to>
      <xdr:col>20</xdr:col>
      <xdr:colOff>57150</xdr:colOff>
      <xdr:row>5</xdr:row>
      <xdr:rowOff>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A428281C-4FFA-4EB0-B0FC-7BF0270B92CC}"/>
            </a:ext>
          </a:extLst>
        </xdr:cNvPr>
        <xdr:cNvCxnSpPr/>
      </xdr:nvCxnSpPr>
      <xdr:spPr>
        <a:xfrm>
          <a:off x="5703234" y="1613647"/>
          <a:ext cx="51715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64994</xdr:colOff>
      <xdr:row>4</xdr:row>
      <xdr:rowOff>358588</xdr:rowOff>
    </xdr:from>
    <xdr:to>
      <xdr:col>20</xdr:col>
      <xdr:colOff>55469</xdr:colOff>
      <xdr:row>4</xdr:row>
      <xdr:rowOff>358588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675FA9B4-991A-43E0-A9F4-6AABD760496C}"/>
            </a:ext>
          </a:extLst>
        </xdr:cNvPr>
        <xdr:cNvCxnSpPr/>
      </xdr:nvCxnSpPr>
      <xdr:spPr>
        <a:xfrm>
          <a:off x="13276729" y="1692088"/>
          <a:ext cx="472328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745191</xdr:colOff>
      <xdr:row>17</xdr:row>
      <xdr:rowOff>185457</xdr:rowOff>
    </xdr:from>
    <xdr:to>
      <xdr:col>2</xdr:col>
      <xdr:colOff>493058</xdr:colOff>
      <xdr:row>17</xdr:row>
      <xdr:rowOff>185457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D8938055-24CE-4F9C-9F41-99A37AFABD0D}"/>
            </a:ext>
          </a:extLst>
        </xdr:cNvPr>
        <xdr:cNvCxnSpPr/>
      </xdr:nvCxnSpPr>
      <xdr:spPr>
        <a:xfrm>
          <a:off x="1507191" y="4331633"/>
          <a:ext cx="509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20170</xdr:colOff>
      <xdr:row>18</xdr:row>
      <xdr:rowOff>0</xdr:rowOff>
    </xdr:from>
    <xdr:to>
      <xdr:col>9</xdr:col>
      <xdr:colOff>10645</xdr:colOff>
      <xdr:row>18</xdr:row>
      <xdr:rowOff>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557BEF82-CCB6-4AEE-94E8-B086AB3317FA}"/>
            </a:ext>
          </a:extLst>
        </xdr:cNvPr>
        <xdr:cNvCxnSpPr/>
      </xdr:nvCxnSpPr>
      <xdr:spPr>
        <a:xfrm>
          <a:off x="5656729" y="1692088"/>
          <a:ext cx="517151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18</xdr:row>
      <xdr:rowOff>0</xdr:rowOff>
    </xdr:from>
    <xdr:to>
      <xdr:col>16</xdr:col>
      <xdr:colOff>0</xdr:colOff>
      <xdr:row>18</xdr:row>
      <xdr:rowOff>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A6DD8E35-5C6A-4C0E-91A5-BC970C64B4CB}"/>
            </a:ext>
          </a:extLst>
        </xdr:cNvPr>
        <xdr:cNvCxnSpPr/>
      </xdr:nvCxnSpPr>
      <xdr:spPr>
        <a:xfrm>
          <a:off x="9418544" y="1692088"/>
          <a:ext cx="48745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</xdr:colOff>
      <xdr:row>18</xdr:row>
      <xdr:rowOff>0</xdr:rowOff>
    </xdr:from>
    <xdr:to>
      <xdr:col>20</xdr:col>
      <xdr:colOff>57150</xdr:colOff>
      <xdr:row>18</xdr:row>
      <xdr:rowOff>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B4BB0067-9B50-4415-AE51-D84B1B86E6DA}"/>
            </a:ext>
          </a:extLst>
        </xdr:cNvPr>
        <xdr:cNvCxnSpPr/>
      </xdr:nvCxnSpPr>
      <xdr:spPr>
        <a:xfrm>
          <a:off x="12527616" y="1692088"/>
          <a:ext cx="4723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64994</xdr:colOff>
      <xdr:row>17</xdr:row>
      <xdr:rowOff>358588</xdr:rowOff>
    </xdr:from>
    <xdr:to>
      <xdr:col>20</xdr:col>
      <xdr:colOff>55469</xdr:colOff>
      <xdr:row>17</xdr:row>
      <xdr:rowOff>358588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7CE647BE-4BE5-4832-B72A-D3CB95EF564B}"/>
            </a:ext>
          </a:extLst>
        </xdr:cNvPr>
        <xdr:cNvCxnSpPr/>
      </xdr:nvCxnSpPr>
      <xdr:spPr>
        <a:xfrm>
          <a:off x="12525935" y="1680882"/>
          <a:ext cx="472328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1120589</xdr:colOff>
      <xdr:row>17</xdr:row>
      <xdr:rowOff>185458</xdr:rowOff>
    </xdr:from>
    <xdr:to>
      <xdr:col>6</xdr:col>
      <xdr:colOff>22411</xdr:colOff>
      <xdr:row>17</xdr:row>
      <xdr:rowOff>190500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1FF811D9-CFE8-4223-B6BA-86B319933EAD}"/>
            </a:ext>
          </a:extLst>
        </xdr:cNvPr>
        <xdr:cNvCxnSpPr/>
      </xdr:nvCxnSpPr>
      <xdr:spPr>
        <a:xfrm flipV="1">
          <a:off x="4123765" y="4331634"/>
          <a:ext cx="481852" cy="504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1120589</xdr:colOff>
      <xdr:row>17</xdr:row>
      <xdr:rowOff>185458</xdr:rowOff>
    </xdr:from>
    <xdr:to>
      <xdr:col>16</xdr:col>
      <xdr:colOff>22411</xdr:colOff>
      <xdr:row>17</xdr:row>
      <xdr:rowOff>190500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C89BCE79-08DB-4B7D-A635-CF427CEFDED6}"/>
            </a:ext>
          </a:extLst>
        </xdr:cNvPr>
        <xdr:cNvCxnSpPr/>
      </xdr:nvCxnSpPr>
      <xdr:spPr>
        <a:xfrm flipV="1">
          <a:off x="4123765" y="4331634"/>
          <a:ext cx="481852" cy="504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745191</xdr:colOff>
      <xdr:row>31</xdr:row>
      <xdr:rowOff>185457</xdr:rowOff>
    </xdr:from>
    <xdr:to>
      <xdr:col>2</xdr:col>
      <xdr:colOff>493058</xdr:colOff>
      <xdr:row>31</xdr:row>
      <xdr:rowOff>185457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28A8EF97-66F4-4690-8DD6-E91B725A29B7}"/>
            </a:ext>
          </a:extLst>
        </xdr:cNvPr>
        <xdr:cNvCxnSpPr/>
      </xdr:nvCxnSpPr>
      <xdr:spPr>
        <a:xfrm>
          <a:off x="1507191" y="4510928"/>
          <a:ext cx="50986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20170</xdr:colOff>
      <xdr:row>32</xdr:row>
      <xdr:rowOff>0</xdr:rowOff>
    </xdr:from>
    <xdr:to>
      <xdr:col>9</xdr:col>
      <xdr:colOff>10645</xdr:colOff>
      <xdr:row>32</xdr:row>
      <xdr:rowOff>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31E13BC2-D922-4934-9D50-4A540C3C6A0B}"/>
            </a:ext>
          </a:extLst>
        </xdr:cNvPr>
        <xdr:cNvCxnSpPr/>
      </xdr:nvCxnSpPr>
      <xdr:spPr>
        <a:xfrm>
          <a:off x="5746376" y="4527176"/>
          <a:ext cx="517151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32</xdr:row>
      <xdr:rowOff>0</xdr:rowOff>
    </xdr:from>
    <xdr:to>
      <xdr:col>16</xdr:col>
      <xdr:colOff>0</xdr:colOff>
      <xdr:row>32</xdr:row>
      <xdr:rowOff>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DCC11E3D-D824-4F53-BC0F-04B95D5ADC99}"/>
            </a:ext>
          </a:extLst>
        </xdr:cNvPr>
        <xdr:cNvCxnSpPr/>
      </xdr:nvCxnSpPr>
      <xdr:spPr>
        <a:xfrm>
          <a:off x="9508191" y="4527176"/>
          <a:ext cx="48745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</xdr:colOff>
      <xdr:row>32</xdr:row>
      <xdr:rowOff>0</xdr:rowOff>
    </xdr:from>
    <xdr:to>
      <xdr:col>20</xdr:col>
      <xdr:colOff>57150</xdr:colOff>
      <xdr:row>32</xdr:row>
      <xdr:rowOff>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2E6E0192-BE25-4005-B336-B8F0977F958A}"/>
            </a:ext>
          </a:extLst>
        </xdr:cNvPr>
        <xdr:cNvCxnSpPr/>
      </xdr:nvCxnSpPr>
      <xdr:spPr>
        <a:xfrm>
          <a:off x="12617263" y="4527176"/>
          <a:ext cx="4723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64994</xdr:colOff>
      <xdr:row>31</xdr:row>
      <xdr:rowOff>358588</xdr:rowOff>
    </xdr:from>
    <xdr:to>
      <xdr:col>20</xdr:col>
      <xdr:colOff>55469</xdr:colOff>
      <xdr:row>31</xdr:row>
      <xdr:rowOff>358588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A29A13D8-03C0-474D-8CBA-79A330CB4C23}"/>
            </a:ext>
          </a:extLst>
        </xdr:cNvPr>
        <xdr:cNvCxnSpPr/>
      </xdr:nvCxnSpPr>
      <xdr:spPr>
        <a:xfrm>
          <a:off x="12615582" y="4522134"/>
          <a:ext cx="472328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1120589</xdr:colOff>
      <xdr:row>31</xdr:row>
      <xdr:rowOff>185458</xdr:rowOff>
    </xdr:from>
    <xdr:to>
      <xdr:col>6</xdr:col>
      <xdr:colOff>22411</xdr:colOff>
      <xdr:row>31</xdr:row>
      <xdr:rowOff>190500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2FE95831-7FA1-427A-83AB-F050EC7C9D2A}"/>
            </a:ext>
          </a:extLst>
        </xdr:cNvPr>
        <xdr:cNvCxnSpPr/>
      </xdr:nvCxnSpPr>
      <xdr:spPr>
        <a:xfrm flipV="1">
          <a:off x="4168589" y="4510929"/>
          <a:ext cx="481851" cy="504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1120589</xdr:colOff>
      <xdr:row>31</xdr:row>
      <xdr:rowOff>185458</xdr:rowOff>
    </xdr:from>
    <xdr:to>
      <xdr:col>16</xdr:col>
      <xdr:colOff>22411</xdr:colOff>
      <xdr:row>31</xdr:row>
      <xdr:rowOff>190500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0E643476-90E3-4289-8332-F89C50181001}"/>
            </a:ext>
          </a:extLst>
        </xdr:cNvPr>
        <xdr:cNvCxnSpPr/>
      </xdr:nvCxnSpPr>
      <xdr:spPr>
        <a:xfrm flipV="1">
          <a:off x="9996208" y="4510929"/>
          <a:ext cx="21850" cy="504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44</xdr:row>
      <xdr:rowOff>358588</xdr:rowOff>
    </xdr:from>
    <xdr:to>
      <xdr:col>5</xdr:col>
      <xdr:colOff>0</xdr:colOff>
      <xdr:row>44</xdr:row>
      <xdr:rowOff>358588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1E302E5E-A8C5-477C-ADAA-416F0B5456C9}"/>
            </a:ext>
          </a:extLst>
        </xdr:cNvPr>
        <xdr:cNvCxnSpPr/>
      </xdr:nvCxnSpPr>
      <xdr:spPr>
        <a:xfrm>
          <a:off x="2538132" y="1585632"/>
          <a:ext cx="509868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20170</xdr:colOff>
      <xdr:row>45</xdr:row>
      <xdr:rowOff>0</xdr:rowOff>
    </xdr:from>
    <xdr:to>
      <xdr:col>9</xdr:col>
      <xdr:colOff>10645</xdr:colOff>
      <xdr:row>45</xdr:row>
      <xdr:rowOff>0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DB7F094E-D968-4C84-BF74-7B21B2913F0A}"/>
            </a:ext>
          </a:extLst>
        </xdr:cNvPr>
        <xdr:cNvCxnSpPr/>
      </xdr:nvCxnSpPr>
      <xdr:spPr>
        <a:xfrm>
          <a:off x="5746376" y="1591235"/>
          <a:ext cx="517151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45</xdr:row>
      <xdr:rowOff>0</xdr:rowOff>
    </xdr:from>
    <xdr:to>
      <xdr:col>16</xdr:col>
      <xdr:colOff>0</xdr:colOff>
      <xdr:row>45</xdr:row>
      <xdr:rowOff>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608E83AE-6425-456B-A700-8F72724A13F6}"/>
            </a:ext>
          </a:extLst>
        </xdr:cNvPr>
        <xdr:cNvCxnSpPr/>
      </xdr:nvCxnSpPr>
      <xdr:spPr>
        <a:xfrm>
          <a:off x="9508191" y="1591235"/>
          <a:ext cx="487456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</xdr:colOff>
      <xdr:row>45</xdr:row>
      <xdr:rowOff>0</xdr:rowOff>
    </xdr:from>
    <xdr:to>
      <xdr:col>20</xdr:col>
      <xdr:colOff>57150</xdr:colOff>
      <xdr:row>45</xdr:row>
      <xdr:rowOff>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00B4D984-DB22-47A9-86BF-51AA39BD708F}"/>
            </a:ext>
          </a:extLst>
        </xdr:cNvPr>
        <xdr:cNvCxnSpPr/>
      </xdr:nvCxnSpPr>
      <xdr:spPr>
        <a:xfrm>
          <a:off x="12617263" y="1591235"/>
          <a:ext cx="4723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64994</xdr:colOff>
      <xdr:row>44</xdr:row>
      <xdr:rowOff>358588</xdr:rowOff>
    </xdr:from>
    <xdr:to>
      <xdr:col>20</xdr:col>
      <xdr:colOff>55469</xdr:colOff>
      <xdr:row>44</xdr:row>
      <xdr:rowOff>358588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CAB8654B-AB08-4E2D-998A-993E16C26F4A}"/>
            </a:ext>
          </a:extLst>
        </xdr:cNvPr>
        <xdr:cNvCxnSpPr/>
      </xdr:nvCxnSpPr>
      <xdr:spPr>
        <a:xfrm>
          <a:off x="12615582" y="1585632"/>
          <a:ext cx="472328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246531</xdr:colOff>
      <xdr:row>56</xdr:row>
      <xdr:rowOff>67234</xdr:rowOff>
    </xdr:from>
    <xdr:to>
      <xdr:col>6</xdr:col>
      <xdr:colOff>545675</xdr:colOff>
      <xdr:row>58</xdr:row>
      <xdr:rowOff>537882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D4184E-9CFB-4840-B049-D607BAF82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1472" y="12640234"/>
          <a:ext cx="2372232" cy="1972236"/>
        </a:xfrm>
        <a:prstGeom prst="rect">
          <a:avLst/>
        </a:prstGeom>
      </xdr:spPr>
    </xdr:pic>
    <xdr:clientData/>
  </xdr:twoCellAnchor>
  <xdr:twoCellAnchor>
    <xdr:from>
      <xdr:col>5</xdr:col>
      <xdr:colOff>1092868</xdr:colOff>
      <xdr:row>56</xdr:row>
      <xdr:rowOff>456196</xdr:rowOff>
    </xdr:from>
    <xdr:to>
      <xdr:col>6</xdr:col>
      <xdr:colOff>45118</xdr:colOff>
      <xdr:row>57</xdr:row>
      <xdr:rowOff>145381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912227E-8F28-A58C-60D0-73734AB958BB}"/>
            </a:ext>
          </a:extLst>
        </xdr:cNvPr>
        <xdr:cNvSpPr txBox="1"/>
      </xdr:nvSpPr>
      <xdr:spPr>
        <a:xfrm>
          <a:off x="4140868" y="12999117"/>
          <a:ext cx="531395" cy="2707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500"/>
            <a:t>$1.071 ; $11.514.321</a:t>
          </a:r>
        </a:p>
      </xdr:txBody>
    </xdr:sp>
    <xdr:clientData/>
  </xdr:twoCellAnchor>
  <xdr:twoCellAnchor>
    <xdr:from>
      <xdr:col>3</xdr:col>
      <xdr:colOff>476250</xdr:colOff>
      <xdr:row>71</xdr:row>
      <xdr:rowOff>358588</xdr:rowOff>
    </xdr:from>
    <xdr:to>
      <xdr:col>5</xdr:col>
      <xdr:colOff>0</xdr:colOff>
      <xdr:row>71</xdr:row>
      <xdr:rowOff>358588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266FA25A-E474-467B-87BD-E41D60BC7AEA}"/>
            </a:ext>
          </a:extLst>
        </xdr:cNvPr>
        <xdr:cNvCxnSpPr/>
      </xdr:nvCxnSpPr>
      <xdr:spPr>
        <a:xfrm>
          <a:off x="2530337" y="10309728"/>
          <a:ext cx="517663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20170</xdr:colOff>
      <xdr:row>72</xdr:row>
      <xdr:rowOff>0</xdr:rowOff>
    </xdr:from>
    <xdr:to>
      <xdr:col>9</xdr:col>
      <xdr:colOff>10645</xdr:colOff>
      <xdr:row>72</xdr:row>
      <xdr:rowOff>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BE854321-897A-487D-8BF8-F18472923A14}"/>
            </a:ext>
          </a:extLst>
        </xdr:cNvPr>
        <xdr:cNvCxnSpPr/>
      </xdr:nvCxnSpPr>
      <xdr:spPr>
        <a:xfrm>
          <a:off x="6232127" y="10311848"/>
          <a:ext cx="512279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72</xdr:row>
      <xdr:rowOff>0</xdr:rowOff>
    </xdr:from>
    <xdr:to>
      <xdr:col>16</xdr:col>
      <xdr:colOff>0</xdr:colOff>
      <xdr:row>72</xdr:row>
      <xdr:rowOff>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945233E3-D8FF-439E-B93A-D44986C4E233}"/>
            </a:ext>
          </a:extLst>
        </xdr:cNvPr>
        <xdr:cNvCxnSpPr/>
      </xdr:nvCxnSpPr>
      <xdr:spPr>
        <a:xfrm>
          <a:off x="9992967" y="10311848"/>
          <a:ext cx="501098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</xdr:colOff>
      <xdr:row>72</xdr:row>
      <xdr:rowOff>0</xdr:rowOff>
    </xdr:from>
    <xdr:to>
      <xdr:col>20</xdr:col>
      <xdr:colOff>57150</xdr:colOff>
      <xdr:row>72</xdr:row>
      <xdr:rowOff>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79CC0D51-F747-4F9D-9438-99B587A341EC}"/>
            </a:ext>
          </a:extLst>
        </xdr:cNvPr>
        <xdr:cNvCxnSpPr/>
      </xdr:nvCxnSpPr>
      <xdr:spPr>
        <a:xfrm>
          <a:off x="13906914" y="10311848"/>
          <a:ext cx="4791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64994</xdr:colOff>
      <xdr:row>71</xdr:row>
      <xdr:rowOff>358588</xdr:rowOff>
    </xdr:from>
    <xdr:to>
      <xdr:col>20</xdr:col>
      <xdr:colOff>55469</xdr:colOff>
      <xdr:row>71</xdr:row>
      <xdr:rowOff>358588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226315F4-A80E-4CA8-821B-160AF1391C37}"/>
            </a:ext>
          </a:extLst>
        </xdr:cNvPr>
        <xdr:cNvCxnSpPr/>
      </xdr:nvCxnSpPr>
      <xdr:spPr>
        <a:xfrm>
          <a:off x="13905233" y="10309728"/>
          <a:ext cx="479149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A2DF-878F-4E7B-A313-429CEB04034F}">
  <dimension ref="B2:P96"/>
  <sheetViews>
    <sheetView topLeftCell="A33" workbookViewId="0">
      <selection activeCell="E7" sqref="E7"/>
    </sheetView>
  </sheetViews>
  <sheetFormatPr baseColWidth="10" defaultRowHeight="15" x14ac:dyDescent="0.25"/>
  <cols>
    <col min="1" max="1" width="4.42578125" customWidth="1"/>
    <col min="2" max="2" width="34.28515625" bestFit="1" customWidth="1"/>
    <col min="3" max="3" width="16.7109375" customWidth="1"/>
    <col min="4" max="4" width="18.85546875" customWidth="1"/>
    <col min="5" max="8" width="21.7109375" customWidth="1"/>
    <col min="9" max="9" width="11.5703125" customWidth="1"/>
    <col min="10" max="12" width="20.85546875" customWidth="1"/>
    <col min="13" max="13" width="16.5703125" customWidth="1"/>
    <col min="14" max="14" width="19" customWidth="1"/>
    <col min="15" max="15" width="20" customWidth="1"/>
    <col min="16" max="16" width="20.5703125" bestFit="1" customWidth="1"/>
  </cols>
  <sheetData>
    <row r="2" spans="2:16" x14ac:dyDescent="0.25">
      <c r="B2" s="57" t="s">
        <v>325</v>
      </c>
      <c r="C2" s="57" t="s">
        <v>311</v>
      </c>
      <c r="D2" s="57" t="s">
        <v>328</v>
      </c>
      <c r="E2" s="57" t="s">
        <v>329</v>
      </c>
      <c r="F2" s="57" t="s">
        <v>408</v>
      </c>
      <c r="G2" s="57" t="s">
        <v>420</v>
      </c>
      <c r="H2" s="57" t="s">
        <v>432</v>
      </c>
      <c r="I2" s="57" t="s">
        <v>320</v>
      </c>
      <c r="J2" s="57" t="s">
        <v>391</v>
      </c>
      <c r="K2" s="57" t="s">
        <v>394</v>
      </c>
      <c r="L2" s="57" t="s">
        <v>404</v>
      </c>
      <c r="M2" s="57" t="s">
        <v>330</v>
      </c>
      <c r="N2" s="57" t="s">
        <v>337</v>
      </c>
      <c r="O2" s="57" t="s">
        <v>331</v>
      </c>
      <c r="P2" s="57" t="s">
        <v>332</v>
      </c>
    </row>
    <row r="3" spans="2:16" x14ac:dyDescent="0.25">
      <c r="B3" s="68" t="s">
        <v>265</v>
      </c>
      <c r="C3" s="69">
        <v>49080</v>
      </c>
      <c r="D3" s="70">
        <f>D19/C3</f>
        <v>122.83253871230644</v>
      </c>
      <c r="E3" s="72">
        <v>285.25</v>
      </c>
      <c r="F3" s="72">
        <v>0</v>
      </c>
      <c r="G3" s="72">
        <v>0</v>
      </c>
      <c r="H3" s="72">
        <v>0</v>
      </c>
      <c r="I3" s="72">
        <f>$C$40/C3</f>
        <v>109.20945395273024</v>
      </c>
      <c r="J3" s="72">
        <f>$C$12/C3</f>
        <v>561.32844335778316</v>
      </c>
      <c r="K3" s="72">
        <v>0</v>
      </c>
      <c r="L3" s="72">
        <f>+C58/C3</f>
        <v>28.097799511002446</v>
      </c>
      <c r="M3" s="72">
        <v>0</v>
      </c>
      <c r="N3" s="72">
        <f>+C25/C3</f>
        <v>31.443092909535451</v>
      </c>
      <c r="O3" s="72">
        <f t="shared" ref="O3:O5" si="0">+M3+I3+E3+D3+N3+J3+L3+K3+F3+G3+H3</f>
        <v>1138.1613284433579</v>
      </c>
      <c r="P3" s="72">
        <f>+O3</f>
        <v>1138.1613284433579</v>
      </c>
    </row>
    <row r="4" spans="2:16" x14ac:dyDescent="0.25">
      <c r="B4" s="68" t="s">
        <v>322</v>
      </c>
      <c r="C4" s="69">
        <v>49080</v>
      </c>
      <c r="D4" s="70">
        <f>D20/C4</f>
        <v>891.90254686226569</v>
      </c>
      <c r="E4" s="72">
        <v>285.25</v>
      </c>
      <c r="F4" s="73">
        <v>0</v>
      </c>
      <c r="G4" s="73">
        <v>0</v>
      </c>
      <c r="H4" s="73">
        <v>0</v>
      </c>
      <c r="I4" s="73">
        <v>0</v>
      </c>
      <c r="J4" s="73">
        <v>0</v>
      </c>
      <c r="K4" s="73">
        <f>+C49/C4</f>
        <v>590.70904645476776</v>
      </c>
      <c r="L4" s="73">
        <v>0</v>
      </c>
      <c r="M4" s="73">
        <f>+C13</f>
        <v>4973</v>
      </c>
      <c r="N4" s="72">
        <f>+C26/C4</f>
        <v>16.340546047269765</v>
      </c>
      <c r="O4" s="72">
        <f t="shared" si="0"/>
        <v>6757.2021393643026</v>
      </c>
      <c r="P4" s="71">
        <f>+O4+O3</f>
        <v>7895.3634678076605</v>
      </c>
    </row>
    <row r="5" spans="2:16" x14ac:dyDescent="0.25">
      <c r="B5" s="68" t="s">
        <v>323</v>
      </c>
      <c r="C5" s="69">
        <v>49080</v>
      </c>
      <c r="D5" s="201">
        <f>D21/C5</f>
        <v>1520.1419111654441</v>
      </c>
      <c r="E5" s="72">
        <v>285.25</v>
      </c>
      <c r="F5" s="73">
        <f>+C69/C5</f>
        <v>1358.3265417006248</v>
      </c>
      <c r="G5" s="73">
        <f>+D69/D5</f>
        <v>0</v>
      </c>
      <c r="H5" s="73">
        <f>+E69/E5</f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2">
        <f>+C27/C5</f>
        <v>40.656642216788917</v>
      </c>
      <c r="O5" s="72">
        <f t="shared" si="0"/>
        <v>3204.375095082858</v>
      </c>
      <c r="P5" s="71">
        <f>+O5+O4+O3</f>
        <v>11099.738562890518</v>
      </c>
    </row>
    <row r="6" spans="2:16" x14ac:dyDescent="0.25">
      <c r="B6" s="68" t="s">
        <v>324</v>
      </c>
      <c r="C6" s="69">
        <v>21394</v>
      </c>
      <c r="D6" s="70">
        <f>D22/C6</f>
        <v>1084.3803870243994</v>
      </c>
      <c r="E6" s="72">
        <v>285.25</v>
      </c>
      <c r="F6" s="73">
        <v>0</v>
      </c>
      <c r="G6" s="70">
        <f>+C91/C6</f>
        <v>287.93119566233526</v>
      </c>
      <c r="H6" s="70">
        <f>+C96/C6</f>
        <v>48.611760306628028</v>
      </c>
      <c r="I6" s="73">
        <v>0</v>
      </c>
      <c r="J6" s="73">
        <v>0</v>
      </c>
      <c r="K6" s="73">
        <v>0</v>
      </c>
      <c r="L6" s="73">
        <v>0</v>
      </c>
      <c r="M6" s="73">
        <v>1080</v>
      </c>
      <c r="N6" s="72">
        <f>+C28/C6</f>
        <v>21.095681032065066</v>
      </c>
      <c r="O6" s="72">
        <f>+M6+I6+E6+D6+N6+J6+L6+K6+F6+G6+H6</f>
        <v>2807.2690240254274</v>
      </c>
      <c r="P6" s="71">
        <f>+O6+O5+O4+O3</f>
        <v>13907.007586915945</v>
      </c>
    </row>
    <row r="8" spans="2:16" x14ac:dyDescent="0.25">
      <c r="B8" s="253" t="s">
        <v>258</v>
      </c>
      <c r="C8" s="253"/>
    </row>
    <row r="9" spans="2:16" x14ac:dyDescent="0.25">
      <c r="B9" s="68" t="s">
        <v>259</v>
      </c>
      <c r="C9" s="71">
        <v>56000000</v>
      </c>
      <c r="D9" s="76"/>
    </row>
    <row r="10" spans="2:16" x14ac:dyDescent="0.25">
      <c r="B10" s="68" t="s">
        <v>260</v>
      </c>
      <c r="C10" s="71">
        <v>523</v>
      </c>
    </row>
    <row r="11" spans="2:16" x14ac:dyDescent="0.25">
      <c r="B11" s="68" t="s">
        <v>390</v>
      </c>
      <c r="C11" s="71">
        <f>+C40</f>
        <v>5360000</v>
      </c>
    </row>
    <row r="12" spans="2:16" x14ac:dyDescent="0.25">
      <c r="B12" s="68" t="s">
        <v>392</v>
      </c>
      <c r="C12" s="71">
        <f>+C33</f>
        <v>27550000</v>
      </c>
    </row>
    <row r="13" spans="2:16" x14ac:dyDescent="0.25">
      <c r="B13" s="68" t="s">
        <v>321</v>
      </c>
      <c r="C13" s="71">
        <v>4973</v>
      </c>
    </row>
    <row r="14" spans="2:16" x14ac:dyDescent="0.25">
      <c r="B14" s="68" t="s">
        <v>337</v>
      </c>
      <c r="C14" s="71">
        <f>SUM(N3:N6)</f>
        <v>109.53596220565922</v>
      </c>
    </row>
    <row r="15" spans="2:16" x14ac:dyDescent="0.25">
      <c r="B15" s="68" t="s">
        <v>393</v>
      </c>
      <c r="C15" s="71"/>
    </row>
    <row r="17" spans="2:4" x14ac:dyDescent="0.25">
      <c r="B17" s="251" t="s">
        <v>312</v>
      </c>
      <c r="C17" s="254"/>
      <c r="D17" s="252"/>
    </row>
    <row r="18" spans="2:4" x14ac:dyDescent="0.25">
      <c r="B18" s="57" t="s">
        <v>325</v>
      </c>
      <c r="C18" s="74" t="s">
        <v>326</v>
      </c>
      <c r="D18" s="74" t="s">
        <v>327</v>
      </c>
    </row>
    <row r="19" spans="2:4" x14ac:dyDescent="0.25">
      <c r="B19" s="68" t="s">
        <v>265</v>
      </c>
      <c r="C19" s="69">
        <v>11527</v>
      </c>
      <c r="D19" s="69">
        <f>+C19*$C$10</f>
        <v>6028621</v>
      </c>
    </row>
    <row r="20" spans="2:4" x14ac:dyDescent="0.25">
      <c r="B20" s="68" t="s">
        <v>322</v>
      </c>
      <c r="C20" s="69">
        <v>83699</v>
      </c>
      <c r="D20" s="69">
        <f t="shared" ref="D20:D22" si="1">+C20*$C$10</f>
        <v>43774577</v>
      </c>
    </row>
    <row r="21" spans="2:4" x14ac:dyDescent="0.25">
      <c r="B21" s="68" t="s">
        <v>323</v>
      </c>
      <c r="C21" s="69">
        <v>142655</v>
      </c>
      <c r="D21" s="69">
        <f t="shared" si="1"/>
        <v>74608565</v>
      </c>
    </row>
    <row r="22" spans="2:4" x14ac:dyDescent="0.25">
      <c r="B22" s="68" t="s">
        <v>324</v>
      </c>
      <c r="C22" s="69">
        <v>44358</v>
      </c>
      <c r="D22" s="69">
        <f t="shared" si="1"/>
        <v>23199234</v>
      </c>
    </row>
    <row r="24" spans="2:4" x14ac:dyDescent="0.25">
      <c r="B24" s="57" t="s">
        <v>325</v>
      </c>
      <c r="C24" s="57" t="s">
        <v>337</v>
      </c>
    </row>
    <row r="25" spans="2:4" x14ac:dyDescent="0.25">
      <c r="B25" s="68" t="s">
        <v>265</v>
      </c>
      <c r="C25" s="72">
        <v>1543227</v>
      </c>
    </row>
    <row r="26" spans="2:4" x14ac:dyDescent="0.25">
      <c r="B26" s="68" t="s">
        <v>322</v>
      </c>
      <c r="C26" s="71">
        <v>801994</v>
      </c>
    </row>
    <row r="27" spans="2:4" x14ac:dyDescent="0.25">
      <c r="B27" s="68" t="s">
        <v>323</v>
      </c>
      <c r="C27" s="71">
        <v>1995428</v>
      </c>
    </row>
    <row r="28" spans="2:4" x14ac:dyDescent="0.25">
      <c r="B28" s="68" t="s">
        <v>324</v>
      </c>
      <c r="C28" s="73">
        <v>451321</v>
      </c>
    </row>
    <row r="30" spans="2:4" x14ac:dyDescent="0.25">
      <c r="B30" s="251" t="s">
        <v>382</v>
      </c>
      <c r="C30" s="252"/>
    </row>
    <row r="31" spans="2:4" x14ac:dyDescent="0.25">
      <c r="B31" s="68" t="s">
        <v>381</v>
      </c>
      <c r="C31" s="68">
        <v>95000</v>
      </c>
    </row>
    <row r="32" spans="2:4" x14ac:dyDescent="0.25">
      <c r="B32" s="68" t="s">
        <v>383</v>
      </c>
      <c r="C32" s="71">
        <v>290</v>
      </c>
    </row>
    <row r="33" spans="2:3" x14ac:dyDescent="0.25">
      <c r="B33" s="68" t="s">
        <v>384</v>
      </c>
      <c r="C33" s="71">
        <f>+C32*C31</f>
        <v>27550000</v>
      </c>
    </row>
    <row r="35" spans="2:3" x14ac:dyDescent="0.25">
      <c r="B35" s="251" t="s">
        <v>385</v>
      </c>
      <c r="C35" s="252"/>
    </row>
    <row r="36" spans="2:3" x14ac:dyDescent="0.25">
      <c r="B36" s="68" t="s">
        <v>386</v>
      </c>
      <c r="C36" s="71">
        <v>230000</v>
      </c>
    </row>
    <row r="37" spans="2:3" x14ac:dyDescent="0.25">
      <c r="B37" s="68" t="s">
        <v>387</v>
      </c>
      <c r="C37" s="71">
        <f>+C36</f>
        <v>230000</v>
      </c>
    </row>
    <row r="38" spans="2:3" x14ac:dyDescent="0.25">
      <c r="B38" s="68" t="s">
        <v>388</v>
      </c>
      <c r="C38" s="71">
        <v>2150000</v>
      </c>
    </row>
    <row r="39" spans="2:3" x14ac:dyDescent="0.25">
      <c r="B39" s="68" t="s">
        <v>389</v>
      </c>
      <c r="C39" s="71">
        <v>2750000</v>
      </c>
    </row>
    <row r="40" spans="2:3" x14ac:dyDescent="0.25">
      <c r="C40" s="200">
        <f>SUM(C36:C39)</f>
        <v>5360000</v>
      </c>
    </row>
    <row r="42" spans="2:3" x14ac:dyDescent="0.25">
      <c r="B42" s="251" t="s">
        <v>394</v>
      </c>
      <c r="C42" s="252"/>
    </row>
    <row r="43" spans="2:3" x14ac:dyDescent="0.25">
      <c r="B43" s="68" t="s">
        <v>398</v>
      </c>
      <c r="C43" s="68">
        <v>127000</v>
      </c>
    </row>
    <row r="44" spans="2:3" x14ac:dyDescent="0.25">
      <c r="B44" s="68" t="s">
        <v>399</v>
      </c>
      <c r="C44" s="71">
        <v>96</v>
      </c>
    </row>
    <row r="45" spans="2:3" x14ac:dyDescent="0.25">
      <c r="B45" s="68" t="s">
        <v>400</v>
      </c>
      <c r="C45" s="71">
        <f>+C44*C43</f>
        <v>12192000</v>
      </c>
    </row>
    <row r="46" spans="2:3" x14ac:dyDescent="0.25">
      <c r="B46" s="68" t="s">
        <v>401</v>
      </c>
      <c r="C46" s="71">
        <v>600000</v>
      </c>
    </row>
    <row r="47" spans="2:3" x14ac:dyDescent="0.25">
      <c r="B47" s="68" t="s">
        <v>402</v>
      </c>
      <c r="C47" s="71">
        <v>28</v>
      </c>
    </row>
    <row r="48" spans="2:3" x14ac:dyDescent="0.25">
      <c r="B48" s="68" t="s">
        <v>403</v>
      </c>
      <c r="C48" s="71">
        <f>+C46*C47</f>
        <v>16800000</v>
      </c>
    </row>
    <row r="49" spans="2:3" x14ac:dyDescent="0.25">
      <c r="C49" s="200">
        <f>+C45+C48</f>
        <v>28992000</v>
      </c>
    </row>
    <row r="51" spans="2:3" x14ac:dyDescent="0.25">
      <c r="B51" s="251" t="s">
        <v>404</v>
      </c>
      <c r="C51" s="252"/>
    </row>
    <row r="52" spans="2:3" x14ac:dyDescent="0.25">
      <c r="B52" s="68" t="s">
        <v>397</v>
      </c>
      <c r="C52" s="71">
        <v>300000</v>
      </c>
    </row>
    <row r="53" spans="2:3" x14ac:dyDescent="0.25">
      <c r="B53" s="68" t="s">
        <v>395</v>
      </c>
      <c r="C53" s="71">
        <v>3</v>
      </c>
    </row>
    <row r="54" spans="2:3" x14ac:dyDescent="0.25">
      <c r="B54" s="68" t="s">
        <v>396</v>
      </c>
      <c r="C54" s="71">
        <f>+C52*C53</f>
        <v>900000</v>
      </c>
    </row>
    <row r="55" spans="2:3" x14ac:dyDescent="0.25">
      <c r="B55" s="68" t="s">
        <v>405</v>
      </c>
      <c r="C55" s="68">
        <v>4990</v>
      </c>
    </row>
    <row r="56" spans="2:3" x14ac:dyDescent="0.25">
      <c r="B56" s="68" t="s">
        <v>406</v>
      </c>
      <c r="C56" s="71">
        <v>96</v>
      </c>
    </row>
    <row r="57" spans="2:3" x14ac:dyDescent="0.25">
      <c r="B57" s="68" t="s">
        <v>407</v>
      </c>
      <c r="C57" s="71">
        <f>+C56*C55</f>
        <v>479040</v>
      </c>
    </row>
    <row r="58" spans="2:3" x14ac:dyDescent="0.25">
      <c r="C58" s="200">
        <f>+C57+C54</f>
        <v>1379040</v>
      </c>
    </row>
    <row r="60" spans="2:3" x14ac:dyDescent="0.25">
      <c r="B60" s="251" t="s">
        <v>419</v>
      </c>
      <c r="C60" s="252"/>
    </row>
    <row r="61" spans="2:3" x14ac:dyDescent="0.25">
      <c r="B61" s="68" t="s">
        <v>409</v>
      </c>
      <c r="C61" s="71">
        <v>500000</v>
      </c>
    </row>
    <row r="62" spans="2:3" x14ac:dyDescent="0.25">
      <c r="B62" s="68" t="s">
        <v>410</v>
      </c>
      <c r="C62" s="202">
        <v>4800</v>
      </c>
    </row>
    <row r="63" spans="2:3" x14ac:dyDescent="0.25">
      <c r="B63" s="68" t="s">
        <v>411</v>
      </c>
      <c r="C63" s="71">
        <f>+C61*C62</f>
        <v>2400000000</v>
      </c>
    </row>
    <row r="64" spans="2:3" x14ac:dyDescent="0.25">
      <c r="B64" s="68" t="s">
        <v>412</v>
      </c>
      <c r="C64" s="71">
        <v>800000</v>
      </c>
    </row>
    <row r="65" spans="2:3" x14ac:dyDescent="0.25">
      <c r="B65" s="68" t="s">
        <v>413</v>
      </c>
      <c r="C65" s="202">
        <v>2000</v>
      </c>
    </row>
    <row r="66" spans="2:3" x14ac:dyDescent="0.25">
      <c r="B66" s="68" t="s">
        <v>414</v>
      </c>
      <c r="C66" s="71">
        <f>+C64*C65</f>
        <v>1600000000</v>
      </c>
    </row>
    <row r="67" spans="2:3" x14ac:dyDescent="0.25">
      <c r="B67" s="68" t="s">
        <v>415</v>
      </c>
      <c r="C67" s="71">
        <f>+C66+C63</f>
        <v>4000000000</v>
      </c>
    </row>
    <row r="68" spans="2:3" x14ac:dyDescent="0.25">
      <c r="B68" s="68" t="s">
        <v>416</v>
      </c>
      <c r="C68" s="71">
        <f>+C67/C70</f>
        <v>800000000</v>
      </c>
    </row>
    <row r="69" spans="2:3" x14ac:dyDescent="0.25">
      <c r="B69" s="68" t="s">
        <v>417</v>
      </c>
      <c r="C69" s="71">
        <f>+C68/12</f>
        <v>66666666.666666664</v>
      </c>
    </row>
    <row r="70" spans="2:3" x14ac:dyDescent="0.25">
      <c r="B70" s="68" t="s">
        <v>418</v>
      </c>
      <c r="C70" s="68">
        <v>5</v>
      </c>
    </row>
    <row r="72" spans="2:3" x14ac:dyDescent="0.25">
      <c r="B72" s="251" t="s">
        <v>420</v>
      </c>
      <c r="C72" s="252"/>
    </row>
    <row r="73" spans="2:3" x14ac:dyDescent="0.25">
      <c r="B73" s="68" t="s">
        <v>422</v>
      </c>
      <c r="C73" s="71">
        <v>2800000</v>
      </c>
    </row>
    <row r="74" spans="2:3" x14ac:dyDescent="0.25">
      <c r="B74" s="68" t="s">
        <v>423</v>
      </c>
      <c r="C74" s="202">
        <v>48</v>
      </c>
    </row>
    <row r="75" spans="2:3" x14ac:dyDescent="0.25">
      <c r="B75" s="68" t="s">
        <v>424</v>
      </c>
      <c r="C75" s="71">
        <f>+C73*C74</f>
        <v>134400000</v>
      </c>
    </row>
    <row r="76" spans="2:3" x14ac:dyDescent="0.25">
      <c r="B76" s="68" t="s">
        <v>425</v>
      </c>
      <c r="C76" s="71">
        <v>2800000</v>
      </c>
    </row>
    <row r="77" spans="2:3" x14ac:dyDescent="0.25">
      <c r="B77" s="68" t="s">
        <v>426</v>
      </c>
      <c r="C77" s="202">
        <v>24</v>
      </c>
    </row>
    <row r="78" spans="2:3" x14ac:dyDescent="0.25">
      <c r="B78" s="68" t="s">
        <v>427</v>
      </c>
      <c r="C78" s="71">
        <f>+C76*C77</f>
        <v>67200000</v>
      </c>
    </row>
    <row r="79" spans="2:3" x14ac:dyDescent="0.25">
      <c r="B79" s="68" t="s">
        <v>421</v>
      </c>
      <c r="C79" s="71">
        <f>+C78+C75</f>
        <v>201600000</v>
      </c>
    </row>
    <row r="80" spans="2:3" x14ac:dyDescent="0.25">
      <c r="B80" s="68" t="s">
        <v>416</v>
      </c>
      <c r="C80" s="71">
        <f>+C79/C82</f>
        <v>40320000</v>
      </c>
    </row>
    <row r="81" spans="2:4" x14ac:dyDescent="0.25">
      <c r="B81" s="68" t="s">
        <v>417</v>
      </c>
      <c r="C81" s="71">
        <f>+C80/12</f>
        <v>3360000</v>
      </c>
      <c r="D81">
        <v>21394</v>
      </c>
    </row>
    <row r="82" spans="2:4" x14ac:dyDescent="0.25">
      <c r="B82" s="68" t="s">
        <v>418</v>
      </c>
      <c r="C82" s="68">
        <v>5</v>
      </c>
      <c r="D82" s="203">
        <f>+C81/D81</f>
        <v>157.05337945218287</v>
      </c>
    </row>
    <row r="84" spans="2:4" x14ac:dyDescent="0.25">
      <c r="B84" s="251" t="s">
        <v>428</v>
      </c>
      <c r="C84" s="252"/>
    </row>
    <row r="85" spans="2:4" x14ac:dyDescent="0.25">
      <c r="B85" s="68" t="s">
        <v>429</v>
      </c>
      <c r="C85" s="71">
        <v>4000000</v>
      </c>
    </row>
    <row r="86" spans="2:4" x14ac:dyDescent="0.25">
      <c r="B86" s="68" t="s">
        <v>430</v>
      </c>
      <c r="C86" s="202">
        <v>42</v>
      </c>
    </row>
    <row r="87" spans="2:4" x14ac:dyDescent="0.25">
      <c r="B87" s="68" t="s">
        <v>431</v>
      </c>
      <c r="C87" s="71">
        <f>+C85*C86</f>
        <v>168000000</v>
      </c>
    </row>
    <row r="88" spans="2:4" x14ac:dyDescent="0.25">
      <c r="B88" s="68" t="s">
        <v>416</v>
      </c>
      <c r="C88" s="71">
        <f>+C87/C90</f>
        <v>33600000</v>
      </c>
    </row>
    <row r="89" spans="2:4" x14ac:dyDescent="0.25">
      <c r="B89" s="68" t="s">
        <v>417</v>
      </c>
      <c r="C89" s="71">
        <f>+C88/12</f>
        <v>2800000</v>
      </c>
      <c r="D89">
        <v>5348</v>
      </c>
    </row>
    <row r="90" spans="2:4" x14ac:dyDescent="0.25">
      <c r="B90" s="68" t="s">
        <v>418</v>
      </c>
      <c r="C90" s="68">
        <v>5</v>
      </c>
      <c r="D90" s="203">
        <f>+C89/D89</f>
        <v>523.56020942408372</v>
      </c>
    </row>
    <row r="91" spans="2:4" x14ac:dyDescent="0.25">
      <c r="C91" s="200">
        <f>+C89+C81</f>
        <v>6160000</v>
      </c>
    </row>
    <row r="93" spans="2:4" x14ac:dyDescent="0.25">
      <c r="B93" s="251" t="s">
        <v>432</v>
      </c>
      <c r="C93" s="252"/>
    </row>
    <row r="94" spans="2:4" x14ac:dyDescent="0.25">
      <c r="B94" s="68" t="s">
        <v>433</v>
      </c>
      <c r="C94" s="71">
        <v>4000</v>
      </c>
    </row>
    <row r="95" spans="2:4" x14ac:dyDescent="0.25">
      <c r="B95" s="68" t="s">
        <v>434</v>
      </c>
      <c r="C95" s="202">
        <v>260</v>
      </c>
    </row>
    <row r="96" spans="2:4" x14ac:dyDescent="0.25">
      <c r="B96" s="68" t="s">
        <v>435</v>
      </c>
      <c r="C96" s="71">
        <f>+C94*C95</f>
        <v>1040000</v>
      </c>
    </row>
  </sheetData>
  <mergeCells count="10">
    <mergeCell ref="B8:C8"/>
    <mergeCell ref="B17:D17"/>
    <mergeCell ref="B30:C30"/>
    <mergeCell ref="B35:C35"/>
    <mergeCell ref="B42:C42"/>
    <mergeCell ref="B51:C51"/>
    <mergeCell ref="B60:C60"/>
    <mergeCell ref="B72:C72"/>
    <mergeCell ref="B84:C84"/>
    <mergeCell ref="B93:C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D6DE-7EEB-4BE3-AE7D-0B80C639FA16}">
  <dimension ref="B1:V75"/>
  <sheetViews>
    <sheetView tabSelected="1" topLeftCell="A54" zoomScale="85" zoomScaleNormal="85" workbookViewId="0">
      <selection activeCell="I62" sqref="I62"/>
    </sheetView>
  </sheetViews>
  <sheetFormatPr baseColWidth="10" defaultColWidth="11.42578125" defaultRowHeight="15" x14ac:dyDescent="0.25"/>
  <cols>
    <col min="1" max="1" width="11.42578125" style="2"/>
    <col min="2" max="2" width="37.140625" style="2" bestFit="1" customWidth="1"/>
    <col min="3" max="5" width="10.85546875" style="2" customWidth="1"/>
    <col min="6" max="6" width="15.140625" style="2" customWidth="1"/>
    <col min="7" max="7" width="11.42578125" style="2" customWidth="1"/>
    <col min="8" max="8" width="15.42578125" style="2" hidden="1" customWidth="1"/>
    <col min="9" max="9" width="15" style="2" customWidth="1"/>
    <col min="10" max="10" width="22.85546875" style="2" hidden="1" customWidth="1"/>
    <col min="11" max="15" width="15" style="2" customWidth="1"/>
    <col min="16" max="16" width="17" style="2" bestFit="1" customWidth="1"/>
    <col min="17" max="17" width="19.5703125" style="2" hidden="1" customWidth="1"/>
    <col min="18" max="18" width="11.42578125" style="2"/>
    <col min="19" max="19" width="17.7109375" style="2" bestFit="1" customWidth="1"/>
    <col min="20" max="20" width="16.5703125" style="2" bestFit="1" customWidth="1"/>
    <col min="21" max="21" width="11.42578125" style="2"/>
    <col min="22" max="22" width="13" style="2" bestFit="1" customWidth="1"/>
    <col min="23" max="16384" width="11.42578125" style="2"/>
  </cols>
  <sheetData>
    <row r="1" spans="2:22" ht="15.75" thickBot="1" x14ac:dyDescent="0.3"/>
    <row r="2" spans="2:22" ht="15.75" thickBot="1" x14ac:dyDescent="0.3">
      <c r="D2" s="215" t="s">
        <v>311</v>
      </c>
      <c r="E2" s="216"/>
      <c r="F2" s="217"/>
      <c r="G2" s="204" t="s">
        <v>340</v>
      </c>
      <c r="H2" s="205"/>
      <c r="I2" s="206"/>
      <c r="J2" s="216" t="s">
        <v>337</v>
      </c>
      <c r="K2" s="217"/>
      <c r="L2" s="136" t="s">
        <v>330</v>
      </c>
      <c r="M2" s="215" t="s">
        <v>118</v>
      </c>
      <c r="N2" s="216"/>
      <c r="O2" s="217"/>
      <c r="P2" s="215" t="s">
        <v>259</v>
      </c>
      <c r="Q2" s="217"/>
      <c r="S2" s="207" t="s">
        <v>258</v>
      </c>
      <c r="T2" s="207"/>
    </row>
    <row r="3" spans="2:22" ht="15" customHeight="1" x14ac:dyDescent="0.25">
      <c r="B3" s="208" t="s">
        <v>121</v>
      </c>
      <c r="C3" s="211" t="s">
        <v>1</v>
      </c>
      <c r="D3" s="208" t="s">
        <v>230</v>
      </c>
      <c r="E3" s="231" t="s">
        <v>346</v>
      </c>
      <c r="F3" s="227" t="s">
        <v>347</v>
      </c>
      <c r="G3" s="234" t="s">
        <v>336</v>
      </c>
      <c r="H3" s="231" t="s">
        <v>317</v>
      </c>
      <c r="I3" s="227" t="s">
        <v>318</v>
      </c>
      <c r="J3" s="234" t="s">
        <v>339</v>
      </c>
      <c r="K3" s="227" t="s">
        <v>338</v>
      </c>
      <c r="L3" s="227" t="s">
        <v>345</v>
      </c>
      <c r="M3" s="234" t="s">
        <v>348</v>
      </c>
      <c r="N3" s="227" t="s">
        <v>341</v>
      </c>
      <c r="O3" s="227" t="s">
        <v>342</v>
      </c>
      <c r="P3" s="224" t="s">
        <v>343</v>
      </c>
      <c r="Q3" s="218" t="s">
        <v>344</v>
      </c>
      <c r="S3" s="31" t="s">
        <v>259</v>
      </c>
      <c r="T3" s="33">
        <v>56000000</v>
      </c>
      <c r="U3" s="2">
        <v>48983</v>
      </c>
      <c r="V3" s="33">
        <f>+T3/U3</f>
        <v>1143.2537819243412</v>
      </c>
    </row>
    <row r="4" spans="2:22" x14ac:dyDescent="0.25">
      <c r="B4" s="209"/>
      <c r="C4" s="212"/>
      <c r="D4" s="209"/>
      <c r="E4" s="232"/>
      <c r="F4" s="228"/>
      <c r="G4" s="235"/>
      <c r="H4" s="232"/>
      <c r="I4" s="228"/>
      <c r="J4" s="235"/>
      <c r="K4" s="228"/>
      <c r="L4" s="228"/>
      <c r="M4" s="235"/>
      <c r="N4" s="228"/>
      <c r="O4" s="228"/>
      <c r="P4" s="225"/>
      <c r="Q4" s="219"/>
      <c r="S4" s="31" t="s">
        <v>260</v>
      </c>
      <c r="T4" s="60">
        <v>523</v>
      </c>
      <c r="V4" s="33"/>
    </row>
    <row r="5" spans="2:22" ht="15.75" thickBot="1" x14ac:dyDescent="0.3">
      <c r="B5" s="210"/>
      <c r="C5" s="213"/>
      <c r="D5" s="214"/>
      <c r="E5" s="250"/>
      <c r="F5" s="230"/>
      <c r="G5" s="236"/>
      <c r="H5" s="233"/>
      <c r="I5" s="229"/>
      <c r="J5" s="236"/>
      <c r="K5" s="229"/>
      <c r="L5" s="229"/>
      <c r="M5" s="236"/>
      <c r="N5" s="229"/>
      <c r="O5" s="229"/>
      <c r="P5" s="226"/>
      <c r="Q5" s="220"/>
      <c r="S5" s="31" t="s">
        <v>320</v>
      </c>
      <c r="T5" s="33">
        <v>32000000</v>
      </c>
      <c r="U5" s="2">
        <f>1+5+27+15</f>
        <v>48</v>
      </c>
      <c r="V5" s="33">
        <f>+T5/U5</f>
        <v>666666.66666666663</v>
      </c>
    </row>
    <row r="6" spans="2:22" x14ac:dyDescent="0.25">
      <c r="B6" s="94" t="s">
        <v>122</v>
      </c>
      <c r="C6" s="164" t="s">
        <v>2</v>
      </c>
      <c r="D6" s="142">
        <v>1246</v>
      </c>
      <c r="E6" s="81">
        <f>+I6+K6+L6+O6+P6</f>
        <v>0</v>
      </c>
      <c r="F6" s="63">
        <f>+E6</f>
        <v>0</v>
      </c>
      <c r="G6" s="162"/>
      <c r="H6" s="81"/>
      <c r="I6" s="63"/>
      <c r="J6" s="137"/>
      <c r="K6" s="63"/>
      <c r="L6" s="63"/>
      <c r="M6" s="147"/>
      <c r="N6" s="137"/>
      <c r="O6" s="63"/>
      <c r="P6" s="181"/>
      <c r="Q6" s="178"/>
      <c r="S6" s="31" t="s">
        <v>321</v>
      </c>
      <c r="T6" s="33">
        <v>4973</v>
      </c>
    </row>
    <row r="7" spans="2:22" x14ac:dyDescent="0.25">
      <c r="B7" s="95" t="s">
        <v>123</v>
      </c>
      <c r="C7" s="165" t="s">
        <v>3</v>
      </c>
      <c r="D7" s="143">
        <v>7585</v>
      </c>
      <c r="E7" s="59">
        <f t="shared" ref="E7:E70" si="0">+I7+K7+L7+O7+P7</f>
        <v>0</v>
      </c>
      <c r="F7" s="64">
        <f>+E7+F6</f>
        <v>0</v>
      </c>
      <c r="G7" s="121"/>
      <c r="H7" s="59"/>
      <c r="I7" s="64"/>
      <c r="J7" s="138"/>
      <c r="K7" s="64"/>
      <c r="L7" s="64"/>
      <c r="M7" s="148"/>
      <c r="N7" s="138"/>
      <c r="O7" s="64"/>
      <c r="P7" s="182"/>
      <c r="Q7" s="179"/>
      <c r="S7" s="31" t="s">
        <v>335</v>
      </c>
      <c r="T7" s="31">
        <v>26</v>
      </c>
    </row>
    <row r="8" spans="2:22" x14ac:dyDescent="0.25">
      <c r="B8" s="95" t="s">
        <v>124</v>
      </c>
      <c r="C8" s="165" t="s">
        <v>119</v>
      </c>
      <c r="D8" s="143">
        <v>23496</v>
      </c>
      <c r="E8" s="59">
        <f t="shared" si="0"/>
        <v>0</v>
      </c>
      <c r="F8" s="64">
        <f t="shared" ref="F8:F71" si="1">+E8+F7</f>
        <v>0</v>
      </c>
      <c r="G8" s="121"/>
      <c r="H8" s="59"/>
      <c r="I8" s="64"/>
      <c r="J8" s="138"/>
      <c r="K8" s="64"/>
      <c r="L8" s="64"/>
      <c r="M8" s="148"/>
      <c r="N8" s="138"/>
      <c r="O8" s="64"/>
      <c r="P8" s="182"/>
      <c r="Q8" s="179"/>
      <c r="S8" s="31" t="s">
        <v>377</v>
      </c>
      <c r="T8" s="33">
        <v>1080</v>
      </c>
    </row>
    <row r="9" spans="2:22" x14ac:dyDescent="0.25">
      <c r="B9" s="95" t="s">
        <v>125</v>
      </c>
      <c r="C9" s="165" t="s">
        <v>5</v>
      </c>
      <c r="D9" s="143">
        <v>13325</v>
      </c>
      <c r="E9" s="59">
        <f t="shared" si="0"/>
        <v>0</v>
      </c>
      <c r="F9" s="64">
        <f t="shared" si="1"/>
        <v>0</v>
      </c>
      <c r="G9" s="121"/>
      <c r="H9" s="59"/>
      <c r="I9" s="64"/>
      <c r="J9" s="138"/>
      <c r="K9" s="64"/>
      <c r="L9" s="64"/>
      <c r="M9" s="148"/>
      <c r="N9" s="138"/>
      <c r="O9" s="64"/>
      <c r="P9" s="182"/>
      <c r="Q9" s="179"/>
    </row>
    <row r="10" spans="2:22" x14ac:dyDescent="0.25">
      <c r="B10" s="95" t="s">
        <v>126</v>
      </c>
      <c r="C10" s="165" t="s">
        <v>8</v>
      </c>
      <c r="D10" s="143">
        <v>3331</v>
      </c>
      <c r="E10" s="59">
        <f t="shared" si="0"/>
        <v>0</v>
      </c>
      <c r="F10" s="64">
        <f t="shared" si="1"/>
        <v>0</v>
      </c>
      <c r="G10" s="121"/>
      <c r="H10" s="59"/>
      <c r="I10" s="64"/>
      <c r="J10" s="138"/>
      <c r="K10" s="64"/>
      <c r="L10" s="64"/>
      <c r="M10" s="148"/>
      <c r="N10" s="138"/>
      <c r="O10" s="64"/>
      <c r="P10" s="182"/>
      <c r="Q10" s="179"/>
    </row>
    <row r="11" spans="2:22" x14ac:dyDescent="0.25">
      <c r="B11" s="95" t="s">
        <v>127</v>
      </c>
      <c r="C11" s="165" t="s">
        <v>9</v>
      </c>
      <c r="D11" s="143">
        <v>10916</v>
      </c>
      <c r="E11" s="59">
        <f t="shared" si="0"/>
        <v>342.23471357029433</v>
      </c>
      <c r="F11" s="64">
        <f t="shared" si="1"/>
        <v>342.23471357029433</v>
      </c>
      <c r="G11" s="121">
        <v>3.7</v>
      </c>
      <c r="H11" s="59">
        <v>201250.4</v>
      </c>
      <c r="I11" s="64">
        <v>18.436277024551117</v>
      </c>
      <c r="J11" s="138">
        <v>201250.4</v>
      </c>
      <c r="K11" s="64">
        <v>18.436277024551117</v>
      </c>
      <c r="L11" s="64"/>
      <c r="M11" s="148">
        <v>5</v>
      </c>
      <c r="N11" s="150">
        <f>+$V$5*M11</f>
        <v>3333333.333333333</v>
      </c>
      <c r="O11" s="64">
        <f>+N11/D11</f>
        <v>305.3621595211921</v>
      </c>
      <c r="P11" s="182"/>
      <c r="Q11" s="179"/>
    </row>
    <row r="12" spans="2:22" x14ac:dyDescent="0.25">
      <c r="B12" s="95" t="s">
        <v>129</v>
      </c>
      <c r="C12" s="165" t="s">
        <v>10</v>
      </c>
      <c r="D12" s="143">
        <v>1246</v>
      </c>
      <c r="E12" s="59">
        <f t="shared" si="0"/>
        <v>601.61674692348845</v>
      </c>
      <c r="F12" s="64">
        <f t="shared" si="1"/>
        <v>943.85146049378272</v>
      </c>
      <c r="G12" s="121">
        <v>3.05</v>
      </c>
      <c r="H12" s="59">
        <v>41473.9</v>
      </c>
      <c r="I12" s="64">
        <v>33.28563402889246</v>
      </c>
      <c r="J12" s="138">
        <v>41473.9</v>
      </c>
      <c r="K12" s="64">
        <v>33.28563402889246</v>
      </c>
      <c r="L12" s="64"/>
      <c r="M12" s="148">
        <v>1</v>
      </c>
      <c r="N12" s="150">
        <f>+$V$5*M12</f>
        <v>666666.66666666663</v>
      </c>
      <c r="O12" s="64">
        <f>+N12/D12</f>
        <v>535.04547886570356</v>
      </c>
      <c r="P12" s="182"/>
      <c r="Q12" s="179"/>
    </row>
    <row r="13" spans="2:22" x14ac:dyDescent="0.25">
      <c r="B13" s="95" t="s">
        <v>128</v>
      </c>
      <c r="C13" s="165" t="s">
        <v>15</v>
      </c>
      <c r="D13" s="143">
        <v>36821</v>
      </c>
      <c r="E13" s="59">
        <f t="shared" si="0"/>
        <v>488.85147062817413</v>
      </c>
      <c r="F13" s="64">
        <f t="shared" si="1"/>
        <v>1432.7029311219569</v>
      </c>
      <c r="G13" s="121"/>
      <c r="H13" s="59"/>
      <c r="I13" s="64"/>
      <c r="J13" s="138"/>
      <c r="K13" s="64"/>
      <c r="L13" s="64"/>
      <c r="M13" s="148">
        <v>27</v>
      </c>
      <c r="N13" s="150">
        <f>+$V$5*M13</f>
        <v>18000000</v>
      </c>
      <c r="O13" s="64">
        <f>+N13/D13</f>
        <v>488.85147062817413</v>
      </c>
      <c r="P13" s="182"/>
      <c r="Q13" s="179"/>
    </row>
    <row r="14" spans="2:22" x14ac:dyDescent="0.25">
      <c r="B14" s="95" t="s">
        <v>132</v>
      </c>
      <c r="C14" s="165" t="s">
        <v>131</v>
      </c>
      <c r="D14" s="143">
        <v>48983</v>
      </c>
      <c r="E14" s="59">
        <f>+I14+K14+L14+O14+P14</f>
        <v>285.8134454810853</v>
      </c>
      <c r="F14" s="64">
        <f t="shared" si="1"/>
        <v>1718.5163766030423</v>
      </c>
      <c r="G14" s="121"/>
      <c r="H14" s="59"/>
      <c r="I14" s="64"/>
      <c r="J14" s="138"/>
      <c r="K14" s="64"/>
      <c r="L14" s="64"/>
      <c r="M14" s="148"/>
      <c r="N14" s="150"/>
      <c r="O14" s="64"/>
      <c r="P14" s="64">
        <f>R15</f>
        <v>285.8134454810853</v>
      </c>
      <c r="Q14" s="179">
        <f>+R14*D14</f>
        <v>56000000.000000007</v>
      </c>
      <c r="R14" s="182">
        <f>V3</f>
        <v>1143.2537819243412</v>
      </c>
    </row>
    <row r="15" spans="2:22" ht="15.75" thickBot="1" x14ac:dyDescent="0.3">
      <c r="B15" s="96" t="s">
        <v>135</v>
      </c>
      <c r="C15" s="166" t="s">
        <v>16</v>
      </c>
      <c r="D15" s="145">
        <v>48983</v>
      </c>
      <c r="E15" s="84">
        <f t="shared" si="0"/>
        <v>440.39560663903808</v>
      </c>
      <c r="F15" s="66">
        <f>+E15+E14+E13+E12+E11</f>
        <v>2158.9119832420802</v>
      </c>
      <c r="G15" s="5">
        <v>18.5</v>
      </c>
      <c r="H15" s="90">
        <v>5785949</v>
      </c>
      <c r="I15" s="91">
        <v>118.12157279055999</v>
      </c>
      <c r="J15" s="139">
        <v>5785949</v>
      </c>
      <c r="K15" s="91">
        <v>118.12157279055999</v>
      </c>
      <c r="L15" s="91"/>
      <c r="M15" s="149">
        <v>15</v>
      </c>
      <c r="N15" s="151">
        <f>+$V$5*M15</f>
        <v>10000000</v>
      </c>
      <c r="O15" s="66">
        <f>+N15/D15</f>
        <v>204.15246105791806</v>
      </c>
      <c r="P15" s="183"/>
      <c r="Q15" s="180"/>
      <c r="R15" s="2">
        <f>+R14/4</f>
        <v>285.8134454810853</v>
      </c>
    </row>
    <row r="16" spans="2:22" x14ac:dyDescent="0.25">
      <c r="B16" s="100" t="s">
        <v>136</v>
      </c>
      <c r="C16" s="167" t="s">
        <v>18</v>
      </c>
      <c r="D16" s="146">
        <v>2.85</v>
      </c>
      <c r="E16" s="131">
        <f t="shared" si="0"/>
        <v>0</v>
      </c>
      <c r="F16" s="132">
        <f t="shared" si="1"/>
        <v>2158.9119832420802</v>
      </c>
      <c r="G16" s="162"/>
      <c r="H16" s="81"/>
      <c r="I16" s="63"/>
      <c r="J16" s="137"/>
      <c r="K16" s="63"/>
      <c r="L16" s="63"/>
      <c r="M16" s="152"/>
      <c r="N16" s="153"/>
      <c r="O16" s="154"/>
      <c r="P16" s="184"/>
      <c r="Q16" s="154"/>
    </row>
    <row r="17" spans="2:17" x14ac:dyDescent="0.25">
      <c r="B17" s="102" t="s">
        <v>137</v>
      </c>
      <c r="C17" s="168" t="s">
        <v>130</v>
      </c>
      <c r="D17" s="143">
        <v>48980.15</v>
      </c>
      <c r="E17" s="59">
        <f t="shared" si="0"/>
        <v>14.047707081338054</v>
      </c>
      <c r="F17" s="64">
        <f t="shared" si="1"/>
        <v>2172.9596903234183</v>
      </c>
      <c r="G17" s="121">
        <v>1.1000000000000001</v>
      </c>
      <c r="H17" s="59">
        <v>344029.4</v>
      </c>
      <c r="I17" s="64">
        <v>7.0238535406690268</v>
      </c>
      <c r="J17" s="138">
        <v>344029.4</v>
      </c>
      <c r="K17" s="64">
        <v>7.0238535406690268</v>
      </c>
      <c r="L17" s="64"/>
      <c r="M17" s="155"/>
      <c r="N17" s="129"/>
      <c r="O17" s="156"/>
      <c r="P17" s="185"/>
      <c r="Q17" s="156"/>
    </row>
    <row r="18" spans="2:17" x14ac:dyDescent="0.25">
      <c r="B18" s="102" t="s">
        <v>138</v>
      </c>
      <c r="C18" s="168" t="s">
        <v>32</v>
      </c>
      <c r="D18" s="143">
        <v>24490.075000000001</v>
      </c>
      <c r="E18" s="59">
        <f t="shared" si="0"/>
        <v>0</v>
      </c>
      <c r="F18" s="64">
        <f t="shared" si="1"/>
        <v>2172.9596903234183</v>
      </c>
      <c r="G18" s="121"/>
      <c r="H18" s="59"/>
      <c r="I18" s="64"/>
      <c r="J18" s="138"/>
      <c r="K18" s="64"/>
      <c r="L18" s="64"/>
      <c r="M18" s="155"/>
      <c r="N18" s="129"/>
      <c r="O18" s="156"/>
      <c r="P18" s="185"/>
      <c r="Q18" s="156"/>
    </row>
    <row r="19" spans="2:17" x14ac:dyDescent="0.25">
      <c r="B19" s="102" t="s">
        <v>139</v>
      </c>
      <c r="C19" s="168" t="s">
        <v>33</v>
      </c>
      <c r="D19" s="143">
        <v>24490.075000000001</v>
      </c>
      <c r="E19" s="59">
        <f t="shared" si="0"/>
        <v>0</v>
      </c>
      <c r="F19" s="64">
        <f t="shared" si="1"/>
        <v>2172.9596903234183</v>
      </c>
      <c r="G19" s="121"/>
      <c r="H19" s="59"/>
      <c r="I19" s="64"/>
      <c r="J19" s="138"/>
      <c r="K19" s="64"/>
      <c r="L19" s="64"/>
      <c r="M19" s="155"/>
      <c r="N19" s="129"/>
      <c r="O19" s="156"/>
      <c r="P19" s="185"/>
      <c r="Q19" s="156"/>
    </row>
    <row r="20" spans="2:17" x14ac:dyDescent="0.25">
      <c r="B20" s="102" t="s">
        <v>142</v>
      </c>
      <c r="C20" s="168" t="s">
        <v>36</v>
      </c>
      <c r="D20" s="143">
        <v>1.07</v>
      </c>
      <c r="E20" s="59">
        <f t="shared" si="0"/>
        <v>0</v>
      </c>
      <c r="F20" s="64">
        <f t="shared" si="1"/>
        <v>2172.9596903234183</v>
      </c>
      <c r="G20" s="121"/>
      <c r="H20" s="59"/>
      <c r="I20" s="64"/>
      <c r="J20" s="138"/>
      <c r="K20" s="64"/>
      <c r="L20" s="64"/>
      <c r="M20" s="155"/>
      <c r="N20" s="129"/>
      <c r="O20" s="156"/>
      <c r="P20" s="185"/>
      <c r="Q20" s="156"/>
    </row>
    <row r="21" spans="2:17" x14ac:dyDescent="0.25">
      <c r="B21" s="102" t="s">
        <v>143</v>
      </c>
      <c r="C21" s="168" t="s">
        <v>40</v>
      </c>
      <c r="D21" s="143">
        <v>1.07</v>
      </c>
      <c r="E21" s="59">
        <f t="shared" si="0"/>
        <v>0</v>
      </c>
      <c r="F21" s="64">
        <f t="shared" si="1"/>
        <v>2172.9596903234183</v>
      </c>
      <c r="G21" s="121"/>
      <c r="H21" s="59"/>
      <c r="I21" s="64"/>
      <c r="J21" s="138"/>
      <c r="K21" s="64"/>
      <c r="L21" s="64"/>
      <c r="M21" s="155"/>
      <c r="N21" s="129"/>
      <c r="O21" s="156"/>
      <c r="P21" s="185"/>
      <c r="Q21" s="156"/>
    </row>
    <row r="22" spans="2:17" x14ac:dyDescent="0.25">
      <c r="B22" s="102" t="s">
        <v>140</v>
      </c>
      <c r="C22" s="168" t="s">
        <v>38</v>
      </c>
      <c r="D22" s="143">
        <v>24489.005000000001</v>
      </c>
      <c r="E22" s="59">
        <f t="shared" si="0"/>
        <v>28.096641737792122</v>
      </c>
      <c r="F22" s="64">
        <f t="shared" si="1"/>
        <v>2201.0563320612105</v>
      </c>
      <c r="G22" s="121">
        <v>1.1000000000000001</v>
      </c>
      <c r="H22" s="59">
        <v>344029.4</v>
      </c>
      <c r="I22" s="64">
        <v>14.048320868896061</v>
      </c>
      <c r="J22" s="138">
        <v>344029.4</v>
      </c>
      <c r="K22" s="64">
        <v>14.048320868896061</v>
      </c>
      <c r="L22" s="64"/>
      <c r="M22" s="155"/>
      <c r="N22" s="129"/>
      <c r="O22" s="156"/>
      <c r="P22" s="185"/>
      <c r="Q22" s="156"/>
    </row>
    <row r="23" spans="2:17" x14ac:dyDescent="0.25">
      <c r="B23" s="102" t="s">
        <v>141</v>
      </c>
      <c r="C23" s="168" t="s">
        <v>42</v>
      </c>
      <c r="D23" s="143">
        <v>24489.005000000001</v>
      </c>
      <c r="E23" s="59">
        <f t="shared" si="0"/>
        <v>28.096641737792122</v>
      </c>
      <c r="F23" s="64">
        <f t="shared" si="1"/>
        <v>2229.1529737990027</v>
      </c>
      <c r="G23" s="121">
        <v>1.1000000000000001</v>
      </c>
      <c r="H23" s="59">
        <v>344029.4</v>
      </c>
      <c r="I23" s="64">
        <v>14.048320868896061</v>
      </c>
      <c r="J23" s="138">
        <v>344029.4</v>
      </c>
      <c r="K23" s="64">
        <v>14.048320868896061</v>
      </c>
      <c r="L23" s="64"/>
      <c r="M23" s="155"/>
      <c r="N23" s="129"/>
      <c r="O23" s="156"/>
      <c r="P23" s="185"/>
      <c r="Q23" s="156"/>
    </row>
    <row r="24" spans="2:17" x14ac:dyDescent="0.25">
      <c r="B24" s="102" t="s">
        <v>144</v>
      </c>
      <c r="C24" s="168" t="s">
        <v>133</v>
      </c>
      <c r="D24" s="143">
        <v>48978.01</v>
      </c>
      <c r="E24" s="59">
        <f t="shared" si="0"/>
        <v>0</v>
      </c>
      <c r="F24" s="64">
        <f t="shared" si="1"/>
        <v>2229.1529737990027</v>
      </c>
      <c r="G24" s="121"/>
      <c r="H24" s="59"/>
      <c r="I24" s="64"/>
      <c r="J24" s="138"/>
      <c r="K24" s="64"/>
      <c r="L24" s="64"/>
      <c r="M24" s="155"/>
      <c r="N24" s="129"/>
      <c r="O24" s="156"/>
      <c r="P24" s="185"/>
      <c r="Q24" s="156"/>
    </row>
    <row r="25" spans="2:17" x14ac:dyDescent="0.25">
      <c r="B25" s="102" t="s">
        <v>145</v>
      </c>
      <c r="C25" s="168" t="s">
        <v>20</v>
      </c>
      <c r="D25" s="143">
        <v>48978.01</v>
      </c>
      <c r="E25" s="59">
        <f t="shared" si="0"/>
        <v>95.784005924291321</v>
      </c>
      <c r="F25" s="64">
        <f t="shared" si="1"/>
        <v>2324.9369797232939</v>
      </c>
      <c r="G25" s="121">
        <v>7.5</v>
      </c>
      <c r="H25" s="59">
        <v>2345655</v>
      </c>
      <c r="I25" s="64">
        <v>47.892002962145661</v>
      </c>
      <c r="J25" s="138">
        <v>2345655</v>
      </c>
      <c r="K25" s="64">
        <v>47.892002962145661</v>
      </c>
      <c r="L25" s="64"/>
      <c r="M25" s="155"/>
      <c r="N25" s="129"/>
      <c r="O25" s="156"/>
      <c r="P25" s="185"/>
      <c r="Q25" s="156"/>
    </row>
    <row r="26" spans="2:17" x14ac:dyDescent="0.25">
      <c r="B26" s="102" t="s">
        <v>146</v>
      </c>
      <c r="C26" s="168" t="s">
        <v>22</v>
      </c>
      <c r="D26" s="143">
        <v>2.5</v>
      </c>
      <c r="E26" s="59">
        <f t="shared" si="0"/>
        <v>0</v>
      </c>
      <c r="F26" s="64">
        <f t="shared" si="1"/>
        <v>2324.9369797232939</v>
      </c>
      <c r="G26" s="121"/>
      <c r="H26" s="59"/>
      <c r="I26" s="64"/>
      <c r="J26" s="138"/>
      <c r="K26" s="64"/>
      <c r="L26" s="64"/>
      <c r="M26" s="155"/>
      <c r="N26" s="129"/>
      <c r="O26" s="156"/>
      <c r="P26" s="185"/>
      <c r="Q26" s="156"/>
    </row>
    <row r="27" spans="2:17" x14ac:dyDescent="0.25">
      <c r="B27" s="102" t="s">
        <v>147</v>
      </c>
      <c r="C27" s="168" t="s">
        <v>25</v>
      </c>
      <c r="D27" s="143">
        <v>48975.51</v>
      </c>
      <c r="E27" s="59">
        <f t="shared" si="0"/>
        <v>143.04475032521356</v>
      </c>
      <c r="F27" s="64">
        <f t="shared" si="1"/>
        <v>2467.9817300485074</v>
      </c>
      <c r="G27" s="121">
        <v>11.2</v>
      </c>
      <c r="H27" s="59">
        <v>3502844.8</v>
      </c>
      <c r="I27" s="64">
        <v>71.522375162606778</v>
      </c>
      <c r="J27" s="138">
        <v>3502844.8</v>
      </c>
      <c r="K27" s="64">
        <v>71.522375162606778</v>
      </c>
      <c r="L27" s="64"/>
      <c r="M27" s="155"/>
      <c r="N27" s="129"/>
      <c r="O27" s="156"/>
      <c r="P27" s="185"/>
      <c r="Q27" s="156"/>
    </row>
    <row r="28" spans="2:17" x14ac:dyDescent="0.25">
      <c r="B28" s="102" t="s">
        <v>148</v>
      </c>
      <c r="C28" s="168" t="s">
        <v>49</v>
      </c>
      <c r="D28" s="143">
        <v>104</v>
      </c>
      <c r="E28" s="59">
        <f t="shared" si="0"/>
        <v>0</v>
      </c>
      <c r="F28" s="64">
        <f t="shared" si="1"/>
        <v>2467.9817300485074</v>
      </c>
      <c r="G28" s="121"/>
      <c r="H28" s="59"/>
      <c r="I28" s="64"/>
      <c r="J28" s="138"/>
      <c r="K28" s="64"/>
      <c r="L28" s="64"/>
      <c r="M28" s="155"/>
      <c r="N28" s="129"/>
      <c r="O28" s="156"/>
      <c r="P28" s="185"/>
      <c r="Q28" s="156"/>
    </row>
    <row r="29" spans="2:17" x14ac:dyDescent="0.25">
      <c r="B29" s="102" t="s">
        <v>149</v>
      </c>
      <c r="C29" s="168" t="s">
        <v>134</v>
      </c>
      <c r="D29" s="143"/>
      <c r="E29" s="59">
        <f t="shared" si="0"/>
        <v>0</v>
      </c>
      <c r="F29" s="64">
        <f t="shared" si="1"/>
        <v>2467.9817300485074</v>
      </c>
      <c r="G29" s="121">
        <v>15</v>
      </c>
      <c r="H29" s="59"/>
      <c r="I29" s="64"/>
      <c r="J29" s="138"/>
      <c r="K29" s="64"/>
      <c r="L29" s="64"/>
      <c r="M29" s="155"/>
      <c r="N29" s="129"/>
      <c r="O29" s="156"/>
      <c r="P29" s="185"/>
      <c r="Q29" s="156"/>
    </row>
    <row r="30" spans="2:17" ht="15" customHeight="1" x14ac:dyDescent="0.25">
      <c r="B30" s="222" t="s">
        <v>244</v>
      </c>
      <c r="C30" s="221"/>
      <c r="D30" s="143">
        <v>49079.51</v>
      </c>
      <c r="E30" s="59">
        <f t="shared" si="0"/>
        <v>624.4946618252709</v>
      </c>
      <c r="F30" s="64">
        <f t="shared" si="1"/>
        <v>3092.4763918737781</v>
      </c>
      <c r="G30" s="121">
        <v>49</v>
      </c>
      <c r="H30" s="59">
        <v>15324946</v>
      </c>
      <c r="I30" s="64">
        <v>312.24733091263545</v>
      </c>
      <c r="J30" s="138">
        <v>15324946</v>
      </c>
      <c r="K30" s="64">
        <v>312.24733091263545</v>
      </c>
      <c r="L30" s="64"/>
      <c r="M30" s="155"/>
      <c r="N30" s="129"/>
      <c r="O30" s="156"/>
      <c r="P30" s="185"/>
      <c r="Q30" s="156"/>
    </row>
    <row r="31" spans="2:17" x14ac:dyDescent="0.25">
      <c r="B31" s="222"/>
      <c r="C31" s="221"/>
      <c r="D31" s="143"/>
      <c r="E31" s="59">
        <f t="shared" si="0"/>
        <v>0</v>
      </c>
      <c r="F31" s="64">
        <f t="shared" si="1"/>
        <v>3092.4763918737781</v>
      </c>
      <c r="G31" s="121"/>
      <c r="H31" s="59"/>
      <c r="I31" s="64"/>
      <c r="J31" s="138"/>
      <c r="K31" s="64"/>
      <c r="L31" s="64"/>
      <c r="M31" s="155"/>
      <c r="N31" s="129"/>
      <c r="O31" s="156"/>
      <c r="P31" s="185"/>
      <c r="Q31" s="156"/>
    </row>
    <row r="32" spans="2:17" ht="15" customHeight="1" x14ac:dyDescent="0.25">
      <c r="B32" s="222" t="s">
        <v>150</v>
      </c>
      <c r="C32" s="223" t="s">
        <v>108</v>
      </c>
      <c r="D32" s="143">
        <v>49079.51</v>
      </c>
      <c r="E32" s="59">
        <f t="shared" si="0"/>
        <v>509.79156067369047</v>
      </c>
      <c r="F32" s="64">
        <f t="shared" si="1"/>
        <v>3602.2679525474687</v>
      </c>
      <c r="G32" s="121">
        <v>40</v>
      </c>
      <c r="H32" s="59">
        <v>12510160</v>
      </c>
      <c r="I32" s="64">
        <v>254.89578033684523</v>
      </c>
      <c r="J32" s="138">
        <v>12510160</v>
      </c>
      <c r="K32" s="64">
        <v>254.89578033684523</v>
      </c>
      <c r="L32" s="64"/>
      <c r="M32" s="155"/>
      <c r="N32" s="129"/>
      <c r="O32" s="156"/>
      <c r="P32" s="185"/>
      <c r="Q32" s="156"/>
    </row>
    <row r="33" spans="2:17" x14ac:dyDescent="0.25">
      <c r="B33" s="222"/>
      <c r="C33" s="223"/>
      <c r="D33" s="143"/>
      <c r="E33" s="59">
        <f t="shared" si="0"/>
        <v>0</v>
      </c>
      <c r="F33" s="64">
        <f t="shared" si="1"/>
        <v>3602.2679525474687</v>
      </c>
      <c r="G33" s="121"/>
      <c r="H33" s="59"/>
      <c r="I33" s="64"/>
      <c r="J33" s="138"/>
      <c r="K33" s="64"/>
      <c r="L33" s="64"/>
      <c r="M33" s="155"/>
      <c r="N33" s="129"/>
      <c r="O33" s="156"/>
      <c r="P33" s="185"/>
      <c r="Q33" s="156"/>
    </row>
    <row r="34" spans="2:17" x14ac:dyDescent="0.25">
      <c r="B34" s="102" t="s">
        <v>152</v>
      </c>
      <c r="C34" s="168" t="s">
        <v>79</v>
      </c>
      <c r="D34" s="143">
        <v>49079.51</v>
      </c>
      <c r="E34" s="59">
        <f t="shared" si="0"/>
        <v>284.97348241659296</v>
      </c>
      <c r="F34" s="64">
        <f t="shared" si="1"/>
        <v>3887.2414349640617</v>
      </c>
      <c r="G34" s="121">
        <v>22.36</v>
      </c>
      <c r="H34" s="59">
        <v>6993179.4399999995</v>
      </c>
      <c r="I34" s="64">
        <v>142.48674120829648</v>
      </c>
      <c r="J34" s="138">
        <v>6993179.4399999995</v>
      </c>
      <c r="K34" s="64">
        <v>142.48674120829648</v>
      </c>
      <c r="L34" s="64"/>
      <c r="M34" s="155"/>
      <c r="N34" s="129"/>
      <c r="O34" s="156"/>
      <c r="P34" s="185"/>
      <c r="Q34" s="156"/>
    </row>
    <row r="35" spans="2:17" x14ac:dyDescent="0.25">
      <c r="B35" s="102" t="s">
        <v>151</v>
      </c>
      <c r="C35" s="168" t="s">
        <v>53</v>
      </c>
      <c r="D35" s="143">
        <v>49079.51</v>
      </c>
      <c r="E35" s="59">
        <f t="shared" si="0"/>
        <v>0</v>
      </c>
      <c r="F35" s="64">
        <f t="shared" si="1"/>
        <v>3887.2414349640617</v>
      </c>
      <c r="G35" s="121"/>
      <c r="H35" s="59"/>
      <c r="I35" s="64"/>
      <c r="J35" s="138"/>
      <c r="K35" s="64"/>
      <c r="L35" s="64"/>
      <c r="M35" s="155"/>
      <c r="N35" s="129"/>
      <c r="O35" s="156"/>
      <c r="P35" s="185"/>
      <c r="Q35" s="156"/>
    </row>
    <row r="36" spans="2:17" x14ac:dyDescent="0.25">
      <c r="B36" s="222" t="s">
        <v>153</v>
      </c>
      <c r="C36" s="223" t="s">
        <v>54</v>
      </c>
      <c r="D36" s="143">
        <v>127</v>
      </c>
      <c r="E36" s="59">
        <f t="shared" si="0"/>
        <v>0</v>
      </c>
      <c r="F36" s="64">
        <f t="shared" si="1"/>
        <v>3887.2414349640617</v>
      </c>
      <c r="G36" s="121"/>
      <c r="H36" s="59"/>
      <c r="I36" s="64"/>
      <c r="J36" s="138"/>
      <c r="K36" s="64"/>
      <c r="L36" s="64"/>
      <c r="M36" s="155"/>
      <c r="N36" s="129"/>
      <c r="O36" s="156"/>
      <c r="P36" s="185"/>
      <c r="Q36" s="156"/>
    </row>
    <row r="37" spans="2:17" x14ac:dyDescent="0.25">
      <c r="B37" s="222"/>
      <c r="C37" s="223"/>
      <c r="D37" s="143"/>
      <c r="E37" s="59">
        <f t="shared" si="0"/>
        <v>0</v>
      </c>
      <c r="F37" s="64">
        <f t="shared" si="1"/>
        <v>3887.2414349640617</v>
      </c>
      <c r="G37" s="121"/>
      <c r="H37" s="59"/>
      <c r="I37" s="64"/>
      <c r="J37" s="138"/>
      <c r="K37" s="64"/>
      <c r="L37" s="64"/>
      <c r="M37" s="155"/>
      <c r="N37" s="129"/>
      <c r="O37" s="156"/>
      <c r="P37" s="185"/>
      <c r="Q37" s="156"/>
    </row>
    <row r="38" spans="2:17" x14ac:dyDescent="0.25">
      <c r="B38" s="222"/>
      <c r="C38" s="223"/>
      <c r="D38" s="143"/>
      <c r="E38" s="59">
        <f t="shared" si="0"/>
        <v>0</v>
      </c>
      <c r="F38" s="64">
        <f t="shared" si="1"/>
        <v>3887.2414349640617</v>
      </c>
      <c r="G38" s="121"/>
      <c r="H38" s="59"/>
      <c r="I38" s="64"/>
      <c r="J38" s="138"/>
      <c r="K38" s="64"/>
      <c r="L38" s="64"/>
      <c r="M38" s="155"/>
      <c r="N38" s="129"/>
      <c r="O38" s="156"/>
      <c r="P38" s="185"/>
      <c r="Q38" s="156"/>
    </row>
    <row r="39" spans="2:17" x14ac:dyDescent="0.25">
      <c r="B39" s="222"/>
      <c r="C39" s="223"/>
      <c r="D39" s="143"/>
      <c r="E39" s="59">
        <f t="shared" si="0"/>
        <v>0</v>
      </c>
      <c r="F39" s="64">
        <f t="shared" si="1"/>
        <v>3887.2414349640617</v>
      </c>
      <c r="G39" s="121"/>
      <c r="H39" s="59"/>
      <c r="I39" s="64"/>
      <c r="J39" s="138"/>
      <c r="K39" s="64"/>
      <c r="L39" s="64"/>
      <c r="M39" s="155"/>
      <c r="N39" s="129"/>
      <c r="O39" s="156"/>
      <c r="P39" s="185"/>
      <c r="Q39" s="156"/>
    </row>
    <row r="40" spans="2:17" x14ac:dyDescent="0.25">
      <c r="B40" s="102" t="s">
        <v>154</v>
      </c>
      <c r="C40" s="168" t="s">
        <v>23</v>
      </c>
      <c r="D40" s="143">
        <v>127</v>
      </c>
      <c r="E40" s="59">
        <f t="shared" si="0"/>
        <v>0</v>
      </c>
      <c r="F40" s="64">
        <f t="shared" si="1"/>
        <v>3887.2414349640617</v>
      </c>
      <c r="G40" s="121"/>
      <c r="H40" s="59"/>
      <c r="I40" s="64"/>
      <c r="J40" s="138"/>
      <c r="K40" s="64"/>
      <c r="L40" s="64"/>
      <c r="M40" s="155"/>
      <c r="N40" s="129"/>
      <c r="O40" s="156"/>
      <c r="P40" s="185"/>
      <c r="Q40" s="156"/>
    </row>
    <row r="41" spans="2:17" x14ac:dyDescent="0.25">
      <c r="B41" s="237" t="s">
        <v>155</v>
      </c>
      <c r="C41" s="240" t="s">
        <v>55</v>
      </c>
      <c r="D41" s="144">
        <v>48952.51</v>
      </c>
      <c r="E41" s="59">
        <f t="shared" si="0"/>
        <v>5343.2213899644221</v>
      </c>
      <c r="F41" s="64">
        <f t="shared" si="1"/>
        <v>9230.4628249284833</v>
      </c>
      <c r="G41" s="163">
        <v>6.6058000000000003</v>
      </c>
      <c r="H41" s="59">
        <v>2065990.3732000003</v>
      </c>
      <c r="I41" s="64">
        <v>42.203972241668509</v>
      </c>
      <c r="J41" s="138">
        <v>2065990.3732000003</v>
      </c>
      <c r="K41" s="64">
        <v>42.203972241668509</v>
      </c>
      <c r="L41" s="64">
        <f>T6</f>
        <v>4973</v>
      </c>
      <c r="M41" s="155"/>
      <c r="N41" s="129"/>
      <c r="O41" s="156"/>
      <c r="P41" s="64">
        <f>$P$14</f>
        <v>285.8134454810853</v>
      </c>
      <c r="Q41" s="156"/>
    </row>
    <row r="42" spans="2:17" x14ac:dyDescent="0.25">
      <c r="B42" s="238"/>
      <c r="C42" s="241"/>
      <c r="D42" s="143"/>
      <c r="E42" s="59">
        <f t="shared" si="0"/>
        <v>0</v>
      </c>
      <c r="F42" s="64">
        <f t="shared" si="1"/>
        <v>9230.4628249284833</v>
      </c>
      <c r="G42" s="121"/>
      <c r="H42" s="59"/>
      <c r="I42" s="64"/>
      <c r="J42" s="138"/>
      <c r="K42" s="64"/>
      <c r="L42" s="64"/>
      <c r="M42" s="155"/>
      <c r="N42" s="129"/>
      <c r="O42" s="156"/>
      <c r="P42" s="185"/>
      <c r="Q42" s="156"/>
    </row>
    <row r="43" spans="2:17" x14ac:dyDescent="0.25">
      <c r="B43" s="238"/>
      <c r="C43" s="241"/>
      <c r="D43" s="143"/>
      <c r="E43" s="59">
        <f t="shared" si="0"/>
        <v>0</v>
      </c>
      <c r="F43" s="64">
        <f t="shared" si="1"/>
        <v>9230.4628249284833</v>
      </c>
      <c r="G43" s="121"/>
      <c r="H43" s="59"/>
      <c r="I43" s="64"/>
      <c r="J43" s="138"/>
      <c r="K43" s="64"/>
      <c r="L43" s="64"/>
      <c r="M43" s="155"/>
      <c r="N43" s="129"/>
      <c r="O43" s="156"/>
      <c r="P43" s="185"/>
      <c r="Q43" s="156"/>
    </row>
    <row r="44" spans="2:17" x14ac:dyDescent="0.25">
      <c r="B44" s="238"/>
      <c r="C44" s="241"/>
      <c r="D44" s="143"/>
      <c r="E44" s="59">
        <f t="shared" si="0"/>
        <v>0</v>
      </c>
      <c r="F44" s="64">
        <f t="shared" si="1"/>
        <v>9230.4628249284833</v>
      </c>
      <c r="G44" s="121"/>
      <c r="H44" s="59"/>
      <c r="I44" s="64"/>
      <c r="J44" s="138"/>
      <c r="K44" s="64"/>
      <c r="L44" s="64"/>
      <c r="M44" s="155"/>
      <c r="N44" s="129"/>
      <c r="O44" s="156"/>
      <c r="P44" s="185"/>
      <c r="Q44" s="156"/>
    </row>
    <row r="45" spans="2:17" x14ac:dyDescent="0.25">
      <c r="B45" s="238"/>
      <c r="C45" s="241"/>
      <c r="D45" s="143"/>
      <c r="E45" s="59">
        <f t="shared" si="0"/>
        <v>0</v>
      </c>
      <c r="F45" s="64">
        <f t="shared" si="1"/>
        <v>9230.4628249284833</v>
      </c>
      <c r="G45" s="121"/>
      <c r="H45" s="59"/>
      <c r="I45" s="64"/>
      <c r="J45" s="138"/>
      <c r="K45" s="64"/>
      <c r="L45" s="64"/>
      <c r="M45" s="155"/>
      <c r="N45" s="129"/>
      <c r="O45" s="156"/>
      <c r="P45" s="185"/>
      <c r="Q45" s="156"/>
    </row>
    <row r="46" spans="2:17" x14ac:dyDescent="0.25">
      <c r="B46" s="238"/>
      <c r="C46" s="241"/>
      <c r="D46" s="143"/>
      <c r="E46" s="59">
        <f t="shared" si="0"/>
        <v>0</v>
      </c>
      <c r="F46" s="64">
        <f t="shared" si="1"/>
        <v>9230.4628249284833</v>
      </c>
      <c r="G46" s="121"/>
      <c r="H46" s="59"/>
      <c r="I46" s="64"/>
      <c r="J46" s="138"/>
      <c r="K46" s="64"/>
      <c r="L46" s="64"/>
      <c r="M46" s="155"/>
      <c r="N46" s="129"/>
      <c r="O46" s="156"/>
      <c r="P46" s="185"/>
      <c r="Q46" s="156"/>
    </row>
    <row r="47" spans="2:17" x14ac:dyDescent="0.25">
      <c r="B47" s="238"/>
      <c r="C47" s="241"/>
      <c r="D47" s="143"/>
      <c r="E47" s="59">
        <f t="shared" si="0"/>
        <v>0</v>
      </c>
      <c r="F47" s="64">
        <f t="shared" si="1"/>
        <v>9230.4628249284833</v>
      </c>
      <c r="G47" s="121"/>
      <c r="H47" s="59"/>
      <c r="I47" s="64"/>
      <c r="J47" s="138"/>
      <c r="K47" s="64"/>
      <c r="L47" s="64"/>
      <c r="M47" s="155"/>
      <c r="N47" s="129"/>
      <c r="O47" s="156"/>
      <c r="P47" s="185"/>
      <c r="Q47" s="156"/>
    </row>
    <row r="48" spans="2:17" x14ac:dyDescent="0.25">
      <c r="B48" s="238"/>
      <c r="C48" s="241"/>
      <c r="D48" s="143"/>
      <c r="E48" s="59">
        <f t="shared" si="0"/>
        <v>0</v>
      </c>
      <c r="F48" s="64">
        <f t="shared" si="1"/>
        <v>9230.4628249284833</v>
      </c>
      <c r="G48" s="121"/>
      <c r="H48" s="59"/>
      <c r="I48" s="64"/>
      <c r="J48" s="138"/>
      <c r="K48" s="64"/>
      <c r="L48" s="64"/>
      <c r="M48" s="155"/>
      <c r="N48" s="129"/>
      <c r="O48" s="156"/>
      <c r="P48" s="185"/>
      <c r="Q48" s="156"/>
    </row>
    <row r="49" spans="2:17" ht="15.75" thickBot="1" x14ac:dyDescent="0.3">
      <c r="B49" s="239"/>
      <c r="C49" s="242"/>
      <c r="D49" s="145"/>
      <c r="E49" s="84">
        <f t="shared" si="0"/>
        <v>0</v>
      </c>
      <c r="F49" s="66">
        <f t="shared" si="1"/>
        <v>9230.4628249284833</v>
      </c>
      <c r="G49" s="126"/>
      <c r="H49" s="84"/>
      <c r="I49" s="66"/>
      <c r="J49" s="140"/>
      <c r="K49" s="66"/>
      <c r="L49" s="66"/>
      <c r="M49" s="157"/>
      <c r="N49" s="158"/>
      <c r="O49" s="159"/>
      <c r="P49" s="186"/>
      <c r="Q49" s="159"/>
    </row>
    <row r="50" spans="2:17" x14ac:dyDescent="0.25">
      <c r="B50" s="135" t="s">
        <v>156</v>
      </c>
      <c r="C50" s="169" t="s">
        <v>60</v>
      </c>
      <c r="D50" s="146">
        <v>48952.51</v>
      </c>
      <c r="E50" s="131">
        <f t="shared" si="0"/>
        <v>0</v>
      </c>
      <c r="F50" s="132">
        <f>+E50+F49</f>
        <v>9230.4628249284833</v>
      </c>
      <c r="G50" s="10"/>
      <c r="H50" s="131"/>
      <c r="I50" s="132"/>
      <c r="J50" s="141"/>
      <c r="K50" s="132"/>
      <c r="L50" s="132"/>
      <c r="M50" s="152"/>
      <c r="N50" s="153"/>
      <c r="O50" s="154"/>
      <c r="P50" s="184"/>
      <c r="Q50" s="154"/>
    </row>
    <row r="51" spans="2:17" x14ac:dyDescent="0.25">
      <c r="B51" s="106" t="s">
        <v>157</v>
      </c>
      <c r="C51" s="170" t="s">
        <v>62</v>
      </c>
      <c r="D51" s="143">
        <v>48952.51</v>
      </c>
      <c r="E51" s="59">
        <f t="shared" si="0"/>
        <v>1200.0071089306757</v>
      </c>
      <c r="F51" s="64">
        <f t="shared" si="1"/>
        <v>10430.46993385916</v>
      </c>
      <c r="G51" s="121">
        <v>90</v>
      </c>
      <c r="H51" s="59">
        <v>29371680</v>
      </c>
      <c r="I51" s="64">
        <v>600.00355446533786</v>
      </c>
      <c r="J51" s="138">
        <v>29371680</v>
      </c>
      <c r="K51" s="64">
        <v>600.00355446533786</v>
      </c>
      <c r="L51" s="64"/>
      <c r="M51" s="155"/>
      <c r="N51" s="129"/>
      <c r="O51" s="156"/>
      <c r="P51" s="185"/>
      <c r="Q51" s="156"/>
    </row>
    <row r="52" spans="2:17" x14ac:dyDescent="0.25">
      <c r="B52" s="106" t="s">
        <v>158</v>
      </c>
      <c r="C52" s="170" t="s">
        <v>64</v>
      </c>
      <c r="D52" s="143">
        <v>24476.255000000001</v>
      </c>
      <c r="E52" s="59">
        <f t="shared" si="0"/>
        <v>0</v>
      </c>
      <c r="F52" s="64">
        <f t="shared" si="1"/>
        <v>10430.46993385916</v>
      </c>
      <c r="G52" s="121"/>
      <c r="H52" s="59"/>
      <c r="I52" s="64"/>
      <c r="J52" s="138"/>
      <c r="K52" s="64"/>
      <c r="L52" s="64"/>
      <c r="M52" s="155"/>
      <c r="N52" s="129"/>
      <c r="O52" s="156"/>
      <c r="P52" s="185"/>
      <c r="Q52" s="156"/>
    </row>
    <row r="53" spans="2:17" x14ac:dyDescent="0.25">
      <c r="B53" s="106" t="s">
        <v>159</v>
      </c>
      <c r="C53" s="170" t="s">
        <v>65</v>
      </c>
      <c r="D53" s="143">
        <v>24476.255000000001</v>
      </c>
      <c r="E53" s="59">
        <f t="shared" si="0"/>
        <v>0</v>
      </c>
      <c r="F53" s="64">
        <f t="shared" si="1"/>
        <v>10430.46993385916</v>
      </c>
      <c r="G53" s="121"/>
      <c r="H53" s="59"/>
      <c r="I53" s="64"/>
      <c r="J53" s="138"/>
      <c r="K53" s="64"/>
      <c r="L53" s="64"/>
      <c r="M53" s="155"/>
      <c r="N53" s="129"/>
      <c r="O53" s="156"/>
      <c r="P53" s="185"/>
      <c r="Q53" s="156"/>
    </row>
    <row r="54" spans="2:17" x14ac:dyDescent="0.25">
      <c r="B54" s="106" t="s">
        <v>160</v>
      </c>
      <c r="C54" s="170" t="s">
        <v>50</v>
      </c>
      <c r="D54" s="143">
        <v>50</v>
      </c>
      <c r="E54" s="59">
        <f t="shared" si="0"/>
        <v>0</v>
      </c>
      <c r="F54" s="64">
        <f t="shared" si="1"/>
        <v>10430.46993385916</v>
      </c>
      <c r="G54" s="121">
        <v>14.9</v>
      </c>
      <c r="H54" s="59"/>
      <c r="I54" s="64"/>
      <c r="J54" s="138"/>
      <c r="K54" s="64"/>
      <c r="L54" s="64"/>
      <c r="M54" s="155"/>
      <c r="N54" s="129"/>
      <c r="O54" s="156"/>
      <c r="P54" s="185"/>
      <c r="Q54" s="156"/>
    </row>
    <row r="55" spans="2:17" x14ac:dyDescent="0.25">
      <c r="B55" s="106" t="s">
        <v>161</v>
      </c>
      <c r="C55" s="170" t="s">
        <v>51</v>
      </c>
      <c r="D55" s="143">
        <v>50</v>
      </c>
      <c r="E55" s="59">
        <f t="shared" si="0"/>
        <v>0</v>
      </c>
      <c r="F55" s="64">
        <f t="shared" si="1"/>
        <v>10430.46993385916</v>
      </c>
      <c r="G55" s="121">
        <v>14.9</v>
      </c>
      <c r="H55" s="59"/>
      <c r="I55" s="64"/>
      <c r="J55" s="138"/>
      <c r="K55" s="64"/>
      <c r="L55" s="64"/>
      <c r="M55" s="155"/>
      <c r="N55" s="129"/>
      <c r="O55" s="156"/>
      <c r="P55" s="185"/>
      <c r="Q55" s="156"/>
    </row>
    <row r="56" spans="2:17" x14ac:dyDescent="0.25">
      <c r="B56" s="106" t="s">
        <v>162</v>
      </c>
      <c r="C56" s="170" t="s">
        <v>58</v>
      </c>
      <c r="D56" s="143">
        <v>24476.255000000001</v>
      </c>
      <c r="E56" s="59">
        <f t="shared" si="0"/>
        <v>33.111307264939022</v>
      </c>
      <c r="F56" s="64">
        <f t="shared" si="1"/>
        <v>10463.581241124099</v>
      </c>
      <c r="G56" s="121">
        <v>14.9</v>
      </c>
      <c r="H56" s="59">
        <v>405220.4</v>
      </c>
      <c r="I56" s="64">
        <v>16.555653632469511</v>
      </c>
      <c r="J56" s="138">
        <v>405220.4</v>
      </c>
      <c r="K56" s="64">
        <v>16.555653632469511</v>
      </c>
      <c r="L56" s="64"/>
      <c r="M56" s="155"/>
      <c r="N56" s="129"/>
      <c r="O56" s="156"/>
      <c r="P56" s="185"/>
      <c r="Q56" s="156"/>
    </row>
    <row r="57" spans="2:17" x14ac:dyDescent="0.25">
      <c r="B57" s="106" t="s">
        <v>163</v>
      </c>
      <c r="C57" s="170" t="s">
        <v>59</v>
      </c>
      <c r="D57" s="143">
        <v>24476.255000000001</v>
      </c>
      <c r="E57" s="59">
        <f t="shared" si="0"/>
        <v>0</v>
      </c>
      <c r="F57" s="64">
        <f t="shared" si="1"/>
        <v>10463.581241124099</v>
      </c>
      <c r="G57" s="121">
        <v>14.9</v>
      </c>
      <c r="H57" s="59"/>
      <c r="I57" s="64"/>
      <c r="J57" s="138"/>
      <c r="K57" s="64"/>
      <c r="L57" s="64"/>
      <c r="M57" s="155"/>
      <c r="N57" s="129"/>
      <c r="O57" s="156"/>
      <c r="P57" s="185"/>
      <c r="Q57" s="156"/>
    </row>
    <row r="58" spans="2:17" x14ac:dyDescent="0.25">
      <c r="B58" s="243" t="s">
        <v>164</v>
      </c>
      <c r="C58" s="249" t="s">
        <v>66</v>
      </c>
      <c r="D58" s="143">
        <v>24476.255000000001</v>
      </c>
      <c r="E58" s="59">
        <f t="shared" si="0"/>
        <v>1431.1195891691764</v>
      </c>
      <c r="F58" s="177">
        <f t="shared" si="1"/>
        <v>11894.700830293275</v>
      </c>
      <c r="G58" s="121">
        <v>56</v>
      </c>
      <c r="H58" s="246">
        <v>17514224</v>
      </c>
      <c r="I58" s="247">
        <v>715.55979458458819</v>
      </c>
      <c r="J58" s="244">
        <v>17514224</v>
      </c>
      <c r="K58" s="247">
        <v>715.55979458458819</v>
      </c>
      <c r="L58" s="247"/>
      <c r="M58" s="160"/>
      <c r="N58" s="130"/>
      <c r="O58" s="161"/>
      <c r="P58" s="187"/>
      <c r="Q58" s="161"/>
    </row>
    <row r="59" spans="2:17" x14ac:dyDescent="0.25">
      <c r="B59" s="243"/>
      <c r="C59" s="249"/>
      <c r="D59" s="143"/>
      <c r="E59" s="59">
        <f t="shared" si="0"/>
        <v>0</v>
      </c>
      <c r="F59" s="177">
        <f t="shared" si="1"/>
        <v>11894.700830293275</v>
      </c>
      <c r="G59" s="121"/>
      <c r="H59" s="246"/>
      <c r="I59" s="247"/>
      <c r="J59" s="244"/>
      <c r="K59" s="247"/>
      <c r="L59" s="247"/>
      <c r="M59" s="160"/>
      <c r="N59" s="130"/>
      <c r="O59" s="161"/>
      <c r="P59" s="187"/>
      <c r="Q59" s="161"/>
    </row>
    <row r="60" spans="2:17" x14ac:dyDescent="0.25">
      <c r="B60" s="243" t="s">
        <v>165</v>
      </c>
      <c r="C60" s="249" t="s">
        <v>67</v>
      </c>
      <c r="D60" s="143">
        <v>24476.255000000001</v>
      </c>
      <c r="E60" s="59">
        <f t="shared" si="0"/>
        <v>1431.1195891691764</v>
      </c>
      <c r="F60" s="177">
        <f t="shared" si="1"/>
        <v>13325.820419462452</v>
      </c>
      <c r="G60" s="121">
        <v>56</v>
      </c>
      <c r="H60" s="246">
        <v>17514224</v>
      </c>
      <c r="I60" s="247">
        <v>715.55979458458819</v>
      </c>
      <c r="J60" s="244">
        <v>17514224</v>
      </c>
      <c r="K60" s="247">
        <v>715.55979458458819</v>
      </c>
      <c r="L60" s="247"/>
      <c r="M60" s="160"/>
      <c r="N60" s="130"/>
      <c r="O60" s="161"/>
      <c r="P60" s="187"/>
      <c r="Q60" s="161"/>
    </row>
    <row r="61" spans="2:17" x14ac:dyDescent="0.25">
      <c r="B61" s="243"/>
      <c r="C61" s="249"/>
      <c r="D61" s="143"/>
      <c r="E61" s="59">
        <f t="shared" si="0"/>
        <v>0</v>
      </c>
      <c r="F61" s="177">
        <f t="shared" si="1"/>
        <v>13325.820419462452</v>
      </c>
      <c r="G61" s="121"/>
      <c r="H61" s="246">
        <v>0</v>
      </c>
      <c r="I61" s="247"/>
      <c r="J61" s="244">
        <v>0</v>
      </c>
      <c r="K61" s="247"/>
      <c r="L61" s="247"/>
      <c r="M61" s="160"/>
      <c r="N61" s="130"/>
      <c r="O61" s="161"/>
      <c r="P61" s="187"/>
      <c r="Q61" s="161"/>
    </row>
    <row r="62" spans="2:17" x14ac:dyDescent="0.25">
      <c r="B62" s="106" t="s">
        <v>166</v>
      </c>
      <c r="C62" s="170" t="s">
        <v>48</v>
      </c>
      <c r="D62" s="143"/>
      <c r="E62" s="59">
        <f>+I62+K62+L62+O62+P62</f>
        <v>0</v>
      </c>
      <c r="F62" s="64">
        <f t="shared" si="1"/>
        <v>13325.820419462452</v>
      </c>
      <c r="G62" s="121"/>
      <c r="H62" s="59"/>
      <c r="I62" s="64"/>
      <c r="J62" s="138"/>
      <c r="K62" s="64"/>
      <c r="L62" s="64"/>
      <c r="M62" s="155"/>
      <c r="N62" s="129"/>
      <c r="O62" s="156"/>
      <c r="P62" s="185"/>
      <c r="Q62" s="156"/>
    </row>
    <row r="63" spans="2:17" ht="15.75" thickBot="1" x14ac:dyDescent="0.3">
      <c r="B63" s="108" t="s">
        <v>167</v>
      </c>
      <c r="C63" s="171" t="s">
        <v>85</v>
      </c>
      <c r="D63" s="145">
        <v>48952.51</v>
      </c>
      <c r="E63" s="84">
        <f>+I63+K63+O63+P63</f>
        <v>669.14904972282898</v>
      </c>
      <c r="F63" s="66">
        <f t="shared" si="1"/>
        <v>13994.969469185282</v>
      </c>
      <c r="G63" s="126">
        <v>30</v>
      </c>
      <c r="H63" s="84">
        <v>9382620</v>
      </c>
      <c r="I63" s="66">
        <v>191.66780212087184</v>
      </c>
      <c r="J63" s="140">
        <v>9382620</v>
      </c>
      <c r="K63" s="66">
        <v>191.66780212087184</v>
      </c>
      <c r="L63" s="132">
        <v>1080</v>
      </c>
      <c r="M63" s="157"/>
      <c r="N63" s="158"/>
      <c r="O63" s="159"/>
      <c r="P63" s="186">
        <f>P41</f>
        <v>285.8134454810853</v>
      </c>
      <c r="Q63" s="159"/>
    </row>
    <row r="64" spans="2:17" x14ac:dyDescent="0.25">
      <c r="B64" s="133" t="s">
        <v>168</v>
      </c>
      <c r="C64" s="172" t="s">
        <v>92</v>
      </c>
      <c r="D64" s="146">
        <v>21394</v>
      </c>
      <c r="E64" s="131">
        <f>+I64+K64+L63+O64+P64</f>
        <v>1080</v>
      </c>
      <c r="F64" s="132">
        <f t="shared" si="1"/>
        <v>15074.969469185282</v>
      </c>
      <c r="G64" s="10"/>
      <c r="H64" s="131"/>
      <c r="I64" s="132"/>
      <c r="J64" s="141"/>
      <c r="K64" s="132"/>
      <c r="M64" s="152"/>
      <c r="N64" s="153"/>
      <c r="O64" s="154"/>
      <c r="P64" s="184"/>
      <c r="Q64" s="154"/>
    </row>
    <row r="65" spans="2:17" x14ac:dyDescent="0.25">
      <c r="B65" s="112" t="s">
        <v>169</v>
      </c>
      <c r="C65" s="173" t="s">
        <v>94</v>
      </c>
      <c r="D65" s="143">
        <v>10697</v>
      </c>
      <c r="E65" s="59">
        <f t="shared" si="0"/>
        <v>0</v>
      </c>
      <c r="F65" s="64">
        <f t="shared" si="1"/>
        <v>15074.969469185282</v>
      </c>
      <c r="G65" s="121"/>
      <c r="H65" s="59"/>
      <c r="I65" s="64"/>
      <c r="J65" s="138"/>
      <c r="K65" s="64"/>
      <c r="L65" s="64"/>
      <c r="M65" s="155"/>
      <c r="N65" s="129"/>
      <c r="O65" s="156"/>
      <c r="P65" s="185"/>
      <c r="Q65" s="156"/>
    </row>
    <row r="66" spans="2:17" x14ac:dyDescent="0.25">
      <c r="B66" s="112" t="s">
        <v>171</v>
      </c>
      <c r="C66" s="173" t="s">
        <v>93</v>
      </c>
      <c r="D66" s="143">
        <v>10697</v>
      </c>
      <c r="E66" s="59">
        <f t="shared" si="0"/>
        <v>1258.4855566981396</v>
      </c>
      <c r="F66" s="64">
        <f t="shared" si="1"/>
        <v>16333.455025883421</v>
      </c>
      <c r="G66" s="121">
        <v>45</v>
      </c>
      <c r="H66" s="59">
        <v>6731010</v>
      </c>
      <c r="I66" s="64">
        <v>629.24277834906979</v>
      </c>
      <c r="J66" s="138">
        <v>6731010</v>
      </c>
      <c r="K66" s="64">
        <v>629.24277834906979</v>
      </c>
      <c r="L66" s="64"/>
      <c r="M66" s="155"/>
      <c r="N66" s="129"/>
      <c r="O66" s="156"/>
      <c r="P66" s="185"/>
      <c r="Q66" s="156"/>
    </row>
    <row r="67" spans="2:17" x14ac:dyDescent="0.25">
      <c r="B67" s="112" t="s">
        <v>170</v>
      </c>
      <c r="C67" s="173" t="s">
        <v>96</v>
      </c>
      <c r="D67" s="143">
        <v>5348.5</v>
      </c>
      <c r="E67" s="59">
        <f t="shared" si="0"/>
        <v>83.899037113209317</v>
      </c>
      <c r="F67" s="64">
        <f t="shared" si="1"/>
        <v>16417.35406299663</v>
      </c>
      <c r="G67" s="121">
        <v>1.5</v>
      </c>
      <c r="H67" s="59">
        <v>224367</v>
      </c>
      <c r="I67" s="64">
        <v>41.949518556604659</v>
      </c>
      <c r="J67" s="138">
        <v>224367</v>
      </c>
      <c r="K67" s="64">
        <v>41.949518556604659</v>
      </c>
      <c r="L67" s="64"/>
      <c r="M67" s="155"/>
      <c r="N67" s="129"/>
      <c r="O67" s="156"/>
      <c r="P67" s="185"/>
      <c r="Q67" s="156"/>
    </row>
    <row r="68" spans="2:17" ht="15.75" thickBot="1" x14ac:dyDescent="0.3">
      <c r="B68" s="134" t="s">
        <v>172</v>
      </c>
      <c r="C68" s="174" t="s">
        <v>95</v>
      </c>
      <c r="D68" s="145">
        <v>5348.5</v>
      </c>
      <c r="E68" s="84">
        <f t="shared" si="0"/>
        <v>1124.8038166131782</v>
      </c>
      <c r="F68" s="66">
        <f t="shared" si="1"/>
        <v>17542.157879609807</v>
      </c>
      <c r="G68" s="5">
        <v>15</v>
      </c>
      <c r="H68" s="90">
        <v>2243670</v>
      </c>
      <c r="I68" s="91">
        <v>419.49518556604653</v>
      </c>
      <c r="J68" s="139">
        <v>2243670</v>
      </c>
      <c r="K68" s="91">
        <v>419.49518556604653</v>
      </c>
      <c r="L68" s="91"/>
      <c r="M68" s="157"/>
      <c r="N68" s="158"/>
      <c r="O68" s="159"/>
      <c r="P68" s="186">
        <f>P63</f>
        <v>285.8134454810853</v>
      </c>
      <c r="Q68" s="159"/>
    </row>
    <row r="69" spans="2:17" x14ac:dyDescent="0.25">
      <c r="B69" s="110" t="s">
        <v>228</v>
      </c>
      <c r="C69" s="175"/>
      <c r="D69" s="146">
        <v>4278.8</v>
      </c>
      <c r="E69" s="131">
        <f t="shared" si="0"/>
        <v>279.66345704403102</v>
      </c>
      <c r="F69" s="132">
        <f t="shared" si="1"/>
        <v>17821.82133665384</v>
      </c>
      <c r="G69" s="162">
        <v>5.5</v>
      </c>
      <c r="H69" s="81">
        <v>598312</v>
      </c>
      <c r="I69" s="63">
        <v>139.83172852201551</v>
      </c>
      <c r="J69" s="137">
        <v>598312</v>
      </c>
      <c r="K69" s="63">
        <v>139.83172852201551</v>
      </c>
      <c r="L69" s="63"/>
      <c r="M69" s="152"/>
      <c r="N69" s="153"/>
      <c r="O69" s="154"/>
      <c r="P69" s="184"/>
      <c r="Q69" s="154"/>
    </row>
    <row r="70" spans="2:17" x14ac:dyDescent="0.25">
      <c r="B70" s="248" t="s">
        <v>334</v>
      </c>
      <c r="C70" s="245"/>
      <c r="D70" s="143">
        <v>5348.5</v>
      </c>
      <c r="E70" s="59">
        <f t="shared" si="0"/>
        <v>6152.5960549686824</v>
      </c>
      <c r="F70" s="177">
        <f t="shared" si="1"/>
        <v>23974.417391622523</v>
      </c>
      <c r="G70" s="121">
        <v>121</v>
      </c>
      <c r="H70" s="246">
        <v>13162864</v>
      </c>
      <c r="I70" s="247">
        <v>3076.2980274843412</v>
      </c>
      <c r="J70" s="244">
        <v>13162864</v>
      </c>
      <c r="K70" s="247">
        <v>3076.2980274843412</v>
      </c>
      <c r="L70" s="247"/>
      <c r="M70" s="160"/>
      <c r="N70" s="130"/>
      <c r="O70" s="161"/>
      <c r="P70" s="187"/>
      <c r="Q70" s="161"/>
    </row>
    <row r="71" spans="2:17" x14ac:dyDescent="0.25">
      <c r="B71" s="248"/>
      <c r="C71" s="245"/>
      <c r="D71" s="143"/>
      <c r="E71" s="59">
        <f t="shared" ref="E71:E72" si="2">+I71+K71+L71+O71+P71</f>
        <v>0</v>
      </c>
      <c r="F71" s="177">
        <f t="shared" si="1"/>
        <v>23974.417391622523</v>
      </c>
      <c r="G71" s="121"/>
      <c r="H71" s="246"/>
      <c r="I71" s="247">
        <v>0</v>
      </c>
      <c r="J71" s="244"/>
      <c r="K71" s="247">
        <v>0</v>
      </c>
      <c r="L71" s="247"/>
      <c r="M71" s="160"/>
      <c r="N71" s="130"/>
      <c r="O71" s="161"/>
      <c r="P71" s="187"/>
      <c r="Q71" s="161"/>
    </row>
    <row r="72" spans="2:17" ht="15.75" thickBot="1" x14ac:dyDescent="0.3">
      <c r="B72" s="114" t="s">
        <v>229</v>
      </c>
      <c r="C72" s="176"/>
      <c r="D72" s="145">
        <v>1069.6999999999998</v>
      </c>
      <c r="E72" s="84">
        <f t="shared" si="2"/>
        <v>447.46153127044977</v>
      </c>
      <c r="F72" s="66">
        <f t="shared" ref="F72" si="3">+E72+F71</f>
        <v>24421.878922892971</v>
      </c>
      <c r="G72" s="126">
        <v>2.2000000000000002</v>
      </c>
      <c r="H72" s="84">
        <v>239324.80000000002</v>
      </c>
      <c r="I72" s="66">
        <v>223.73076563522488</v>
      </c>
      <c r="J72" s="140">
        <v>239324.80000000002</v>
      </c>
      <c r="K72" s="66">
        <v>223.73076563522488</v>
      </c>
      <c r="L72" s="66"/>
      <c r="M72" s="157"/>
      <c r="N72" s="158"/>
      <c r="O72" s="159"/>
      <c r="P72" s="186"/>
      <c r="Q72" s="159"/>
    </row>
    <row r="73" spans="2:17" x14ac:dyDescent="0.25">
      <c r="H73" s="75">
        <f>SUM(H6:H72)</f>
        <v>147191053.3132</v>
      </c>
      <c r="I73" s="75">
        <f>SUM(I6:I72)</f>
        <v>7846.1067854478206</v>
      </c>
      <c r="J73" s="75">
        <f>SUM(J6:J72)</f>
        <v>147191053.3132</v>
      </c>
      <c r="K73" s="75">
        <f>SUM(K6:K72)</f>
        <v>7846.1067854478206</v>
      </c>
      <c r="L73" s="75"/>
      <c r="M73" s="75"/>
      <c r="N73" s="75"/>
      <c r="O73" s="75"/>
    </row>
    <row r="74" spans="2:17" s="11" customFormat="1" ht="15.75" customHeight="1" x14ac:dyDescent="0.25">
      <c r="F74" s="11">
        <f>16325+6879</f>
        <v>23204</v>
      </c>
      <c r="H74" s="75">
        <f>+H73*0.6</f>
        <v>88314631.987920001</v>
      </c>
      <c r="I74" s="75">
        <f>+I73*0.6</f>
        <v>4707.6640712686922</v>
      </c>
      <c r="J74" s="75">
        <f>+J73*0.6</f>
        <v>88314631.987920001</v>
      </c>
      <c r="K74" s="75">
        <f>+K73*0.6</f>
        <v>4707.6640712686922</v>
      </c>
      <c r="L74" s="75"/>
      <c r="M74" s="75"/>
      <c r="N74" s="75"/>
      <c r="O74" s="75"/>
    </row>
    <row r="75" spans="2:17" x14ac:dyDescent="0.25">
      <c r="H75" s="75"/>
      <c r="J75" s="75"/>
    </row>
  </sheetData>
  <mergeCells count="51">
    <mergeCell ref="L58:L59"/>
    <mergeCell ref="L60:L61"/>
    <mergeCell ref="L70:L71"/>
    <mergeCell ref="D2:F2"/>
    <mergeCell ref="E3:E5"/>
    <mergeCell ref="L3:L5"/>
    <mergeCell ref="K58:K59"/>
    <mergeCell ref="J60:J61"/>
    <mergeCell ref="K60:K61"/>
    <mergeCell ref="J70:J71"/>
    <mergeCell ref="K70:K71"/>
    <mergeCell ref="J2:K2"/>
    <mergeCell ref="H58:H59"/>
    <mergeCell ref="I58:I59"/>
    <mergeCell ref="H60:H61"/>
    <mergeCell ref="I60:I61"/>
    <mergeCell ref="J58:J59"/>
    <mergeCell ref="C70:C71"/>
    <mergeCell ref="H70:H71"/>
    <mergeCell ref="I70:I71"/>
    <mergeCell ref="B70:B71"/>
    <mergeCell ref="C58:C59"/>
    <mergeCell ref="B60:B61"/>
    <mergeCell ref="C60:C61"/>
    <mergeCell ref="B36:B39"/>
    <mergeCell ref="C36:C39"/>
    <mergeCell ref="B41:B49"/>
    <mergeCell ref="C41:C49"/>
    <mergeCell ref="B58:B59"/>
    <mergeCell ref="C30:C31"/>
    <mergeCell ref="B32:B33"/>
    <mergeCell ref="C32:C33"/>
    <mergeCell ref="B30:B31"/>
    <mergeCell ref="P3:P5"/>
    <mergeCell ref="I3:I5"/>
    <mergeCell ref="F3:F5"/>
    <mergeCell ref="H3:H5"/>
    <mergeCell ref="K3:K5"/>
    <mergeCell ref="G3:G5"/>
    <mergeCell ref="J3:J5"/>
    <mergeCell ref="M3:M5"/>
    <mergeCell ref="N3:N5"/>
    <mergeCell ref="O3:O5"/>
    <mergeCell ref="G2:I2"/>
    <mergeCell ref="S2:T2"/>
    <mergeCell ref="B3:B5"/>
    <mergeCell ref="C3:C5"/>
    <mergeCell ref="D3:D5"/>
    <mergeCell ref="M2:O2"/>
    <mergeCell ref="P2:Q2"/>
    <mergeCell ref="Q3:Q5"/>
  </mergeCells>
  <phoneticPr fontId="1" type="noConversion"/>
  <conditionalFormatting sqref="E1:E1048576">
    <cfRule type="cellIs" dxfId="1" priority="1" operator="equal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20BD-73FE-42D9-8041-4085B66FC694}">
  <dimension ref="B2:AE179"/>
  <sheetViews>
    <sheetView topLeftCell="S49" zoomScale="85" zoomScaleNormal="85" workbookViewId="0">
      <selection activeCell="X75" sqref="X75"/>
    </sheetView>
  </sheetViews>
  <sheetFormatPr baseColWidth="10" defaultColWidth="11.42578125" defaultRowHeight="15" x14ac:dyDescent="0.25"/>
  <cols>
    <col min="1" max="3" width="11.42578125" style="2"/>
    <col min="4" max="4" width="16.7109375" style="2" customWidth="1"/>
    <col min="5" max="5" width="13.42578125" style="2" customWidth="1"/>
    <col min="6" max="11" width="11.42578125" style="2"/>
    <col min="12" max="12" width="7.5703125" style="2" customWidth="1"/>
    <col min="13" max="13" width="11.42578125" style="2"/>
    <col min="14" max="14" width="31.5703125" style="2" bestFit="1" customWidth="1"/>
    <col min="15" max="16" width="10.85546875" style="2" customWidth="1"/>
    <col min="17" max="18" width="9.85546875" style="2" customWidth="1"/>
    <col min="19" max="19" width="40.28515625" style="2" customWidth="1"/>
    <col min="20" max="20" width="38" style="2" customWidth="1"/>
    <col min="21" max="22" width="11.42578125" style="2" customWidth="1"/>
    <col min="23" max="23" width="15" style="2" customWidth="1"/>
    <col min="24" max="24" width="15.85546875" style="2" customWidth="1"/>
    <col min="25" max="25" width="16.28515625" style="2" customWidth="1"/>
    <col min="26" max="26" width="17.140625" style="2" bestFit="1" customWidth="1"/>
    <col min="27" max="27" width="16.28515625" style="2" customWidth="1"/>
    <col min="28" max="29" width="11.42578125" style="2"/>
    <col min="30" max="30" width="15" style="2" bestFit="1" customWidth="1"/>
    <col min="31" max="31" width="16.5703125" style="2" bestFit="1" customWidth="1"/>
    <col min="32" max="16384" width="11.42578125" style="2"/>
  </cols>
  <sheetData>
    <row r="2" spans="2:31" x14ac:dyDescent="0.25">
      <c r="B2" s="255" t="s">
        <v>26</v>
      </c>
      <c r="C2" s="255"/>
      <c r="D2" s="255"/>
      <c r="E2" s="260"/>
      <c r="F2" s="260" t="s">
        <v>81</v>
      </c>
      <c r="G2" s="261"/>
      <c r="H2" s="3"/>
      <c r="I2" s="4"/>
      <c r="J2" s="4"/>
      <c r="K2" s="4"/>
      <c r="L2" s="5"/>
      <c r="P2" s="207" t="s">
        <v>311</v>
      </c>
      <c r="Q2" s="207"/>
      <c r="R2" s="207"/>
      <c r="S2" s="207"/>
      <c r="T2" s="207" t="s">
        <v>312</v>
      </c>
      <c r="U2" s="207"/>
      <c r="V2" s="207"/>
      <c r="W2" s="207"/>
      <c r="X2" s="207"/>
      <c r="Y2" s="207"/>
      <c r="Z2" s="207"/>
      <c r="AA2" s="207"/>
      <c r="AD2" s="207" t="s">
        <v>258</v>
      </c>
      <c r="AE2" s="207"/>
    </row>
    <row r="3" spans="2:31" ht="15" customHeight="1" x14ac:dyDescent="0.25">
      <c r="B3" s="256" t="s">
        <v>0</v>
      </c>
      <c r="C3" s="256"/>
      <c r="D3" s="256" t="s">
        <v>7</v>
      </c>
      <c r="E3" s="259"/>
      <c r="F3" s="18" t="s">
        <v>68</v>
      </c>
      <c r="G3" s="18" t="s">
        <v>69</v>
      </c>
      <c r="H3" s="1"/>
      <c r="L3" s="6"/>
      <c r="N3" s="232" t="s">
        <v>121</v>
      </c>
      <c r="O3" s="232" t="s">
        <v>1</v>
      </c>
      <c r="P3" s="232" t="s">
        <v>230</v>
      </c>
      <c r="Q3" s="232" t="s">
        <v>117</v>
      </c>
      <c r="R3" s="232" t="s">
        <v>120</v>
      </c>
      <c r="S3" s="232" t="s">
        <v>231</v>
      </c>
      <c r="T3" s="294" t="s">
        <v>262</v>
      </c>
      <c r="U3" s="232" t="s">
        <v>313</v>
      </c>
      <c r="V3" s="232" t="s">
        <v>336</v>
      </c>
      <c r="W3" s="232" t="s">
        <v>314</v>
      </c>
      <c r="X3" s="232" t="s">
        <v>315</v>
      </c>
      <c r="Y3" s="232" t="s">
        <v>316</v>
      </c>
      <c r="Z3" s="232" t="s">
        <v>317</v>
      </c>
      <c r="AA3" s="232" t="s">
        <v>318</v>
      </c>
      <c r="AD3" s="31" t="s">
        <v>259</v>
      </c>
      <c r="AE3" s="33">
        <v>56000000</v>
      </c>
    </row>
    <row r="4" spans="2:31" ht="19.899999999999999" customHeight="1" x14ac:dyDescent="0.25">
      <c r="B4" s="14" t="s">
        <v>1</v>
      </c>
      <c r="C4" s="14" t="s">
        <v>117</v>
      </c>
      <c r="D4" s="14" t="s">
        <v>1</v>
      </c>
      <c r="E4" s="15" t="s">
        <v>6</v>
      </c>
      <c r="F4" s="23"/>
      <c r="G4" s="23"/>
      <c r="H4" s="1"/>
      <c r="L4" s="7"/>
      <c r="N4" s="232"/>
      <c r="O4" s="232"/>
      <c r="P4" s="232"/>
      <c r="Q4" s="232"/>
      <c r="R4" s="232"/>
      <c r="S4" s="232"/>
      <c r="T4" s="295"/>
      <c r="U4" s="232"/>
      <c r="V4" s="232"/>
      <c r="W4" s="232"/>
      <c r="X4" s="232"/>
      <c r="Y4" s="232"/>
      <c r="Z4" s="232"/>
      <c r="AA4" s="232"/>
      <c r="AD4" s="31" t="s">
        <v>260</v>
      </c>
      <c r="AE4" s="60">
        <v>523</v>
      </c>
    </row>
    <row r="5" spans="2:31" ht="15.75" thickBot="1" x14ac:dyDescent="0.3">
      <c r="B5" s="12" t="s">
        <v>2</v>
      </c>
      <c r="C5" s="13">
        <v>47.9</v>
      </c>
      <c r="D5" s="12" t="s">
        <v>10</v>
      </c>
      <c r="E5" s="13">
        <f>+C5+C6</f>
        <v>193.4</v>
      </c>
      <c r="F5" s="13">
        <v>3</v>
      </c>
      <c r="G5" s="13">
        <v>18</v>
      </c>
      <c r="H5" s="1"/>
      <c r="L5" s="7"/>
      <c r="N5" s="250"/>
      <c r="O5" s="250"/>
      <c r="P5" s="250"/>
      <c r="Q5" s="250"/>
      <c r="R5" s="250"/>
      <c r="S5" s="250"/>
      <c r="T5" s="295"/>
      <c r="U5" s="250"/>
      <c r="V5" s="250"/>
      <c r="W5" s="250"/>
      <c r="X5" s="250"/>
      <c r="Y5" s="250"/>
      <c r="Z5" s="250"/>
      <c r="AA5" s="250"/>
      <c r="AD5" s="31" t="s">
        <v>320</v>
      </c>
      <c r="AE5" s="33">
        <v>32000000</v>
      </c>
    </row>
    <row r="6" spans="2:31" x14ac:dyDescent="0.25">
      <c r="B6" s="12" t="s">
        <v>3</v>
      </c>
      <c r="C6" s="13">
        <f>+C21</f>
        <v>145.5</v>
      </c>
      <c r="D6" s="13" t="s">
        <v>17</v>
      </c>
      <c r="E6" s="13" t="s">
        <v>17</v>
      </c>
      <c r="F6" s="13">
        <v>15</v>
      </c>
      <c r="G6" s="13"/>
      <c r="H6" s="1"/>
      <c r="L6" s="7"/>
      <c r="N6" s="94" t="s">
        <v>122</v>
      </c>
      <c r="O6" s="97" t="s">
        <v>2</v>
      </c>
      <c r="P6" s="79">
        <v>1246</v>
      </c>
      <c r="Q6" s="80">
        <f>+P6/$AE$7</f>
        <v>47.92307692307692</v>
      </c>
      <c r="R6" s="80">
        <f>Q6/W6</f>
        <v>47.92307692307692</v>
      </c>
      <c r="S6" s="62" t="s">
        <v>232</v>
      </c>
      <c r="T6" s="293" t="s">
        <v>269</v>
      </c>
      <c r="U6" s="62"/>
      <c r="V6" s="62"/>
      <c r="W6" s="62">
        <v>1</v>
      </c>
      <c r="X6" s="62"/>
      <c r="Y6" s="62"/>
      <c r="Z6" s="81"/>
      <c r="AA6" s="63"/>
      <c r="AD6" s="31" t="s">
        <v>321</v>
      </c>
      <c r="AE6" s="33">
        <v>4973</v>
      </c>
    </row>
    <row r="7" spans="2:31" x14ac:dyDescent="0.25">
      <c r="B7" s="14" t="s">
        <v>12</v>
      </c>
      <c r="C7" s="14">
        <f>+C5+C6</f>
        <v>193.4</v>
      </c>
      <c r="D7" s="14" t="s">
        <v>13</v>
      </c>
      <c r="E7" s="15">
        <f>+E5</f>
        <v>193.4</v>
      </c>
      <c r="F7" s="24">
        <f>+C7-E7</f>
        <v>0</v>
      </c>
      <c r="G7" s="24">
        <v>18</v>
      </c>
      <c r="H7" s="8"/>
      <c r="I7" s="9"/>
      <c r="J7" s="9"/>
      <c r="K7" s="9"/>
      <c r="L7" s="10"/>
      <c r="N7" s="95" t="s">
        <v>123</v>
      </c>
      <c r="O7" s="98" t="s">
        <v>3</v>
      </c>
      <c r="P7" s="12">
        <v>7585</v>
      </c>
      <c r="Q7" s="55">
        <f>+P7/$AE$7</f>
        <v>291.73076923076923</v>
      </c>
      <c r="R7" s="55">
        <f t="shared" ref="R7:R70" si="0">Q7/W7</f>
        <v>72.932692307692307</v>
      </c>
      <c r="S7" s="31" t="s">
        <v>232</v>
      </c>
      <c r="T7" s="289"/>
      <c r="U7" s="31"/>
      <c r="V7" s="31"/>
      <c r="W7" s="31">
        <v>4</v>
      </c>
      <c r="X7" s="31"/>
      <c r="Y7" s="31"/>
      <c r="Z7" s="59"/>
      <c r="AA7" s="64"/>
      <c r="AD7" s="31" t="s">
        <v>335</v>
      </c>
      <c r="AE7" s="31">
        <v>26</v>
      </c>
    </row>
    <row r="8" spans="2:31" x14ac:dyDescent="0.25">
      <c r="N8" s="95" t="s">
        <v>124</v>
      </c>
      <c r="O8" s="98" t="s">
        <v>119</v>
      </c>
      <c r="P8" s="12">
        <v>23496</v>
      </c>
      <c r="Q8" s="55">
        <f t="shared" ref="Q8:Q10" si="1">+P8/$AE$7</f>
        <v>903.69230769230774</v>
      </c>
      <c r="R8" s="55">
        <f t="shared" si="0"/>
        <v>39.290969899665555</v>
      </c>
      <c r="S8" s="31" t="s">
        <v>232</v>
      </c>
      <c r="T8" s="289"/>
      <c r="U8" s="31"/>
      <c r="V8" s="31"/>
      <c r="W8" s="31">
        <v>23</v>
      </c>
      <c r="X8" s="31"/>
      <c r="Y8" s="31"/>
      <c r="Z8" s="59"/>
      <c r="AA8" s="64"/>
    </row>
    <row r="9" spans="2:31" x14ac:dyDescent="0.25">
      <c r="B9" s="255" t="s">
        <v>27</v>
      </c>
      <c r="C9" s="255"/>
      <c r="D9" s="255"/>
      <c r="E9" s="255"/>
      <c r="F9" s="260" t="s">
        <v>81</v>
      </c>
      <c r="G9" s="261"/>
      <c r="H9" s="262"/>
      <c r="I9" s="284"/>
      <c r="J9" s="284"/>
      <c r="K9" s="284"/>
      <c r="L9" s="263"/>
      <c r="N9" s="95" t="s">
        <v>125</v>
      </c>
      <c r="O9" s="98" t="s">
        <v>5</v>
      </c>
      <c r="P9" s="12">
        <v>13325</v>
      </c>
      <c r="Q9" s="55">
        <f t="shared" si="1"/>
        <v>512.5</v>
      </c>
      <c r="R9" s="55">
        <f t="shared" si="0"/>
        <v>22.282608695652176</v>
      </c>
      <c r="S9" s="31" t="s">
        <v>291</v>
      </c>
      <c r="T9" s="289"/>
      <c r="U9" s="31"/>
      <c r="V9" s="31"/>
      <c r="W9" s="31">
        <v>23</v>
      </c>
      <c r="X9" s="31"/>
      <c r="Y9" s="31"/>
      <c r="Z9" s="59"/>
      <c r="AA9" s="64"/>
    </row>
    <row r="10" spans="2:31" x14ac:dyDescent="0.25">
      <c r="B10" s="256" t="s">
        <v>0</v>
      </c>
      <c r="C10" s="256"/>
      <c r="D10" s="256" t="s">
        <v>7</v>
      </c>
      <c r="E10" s="256"/>
      <c r="F10" s="18" t="s">
        <v>68</v>
      </c>
      <c r="G10" s="18" t="s">
        <v>69</v>
      </c>
      <c r="H10" s="264"/>
      <c r="I10" s="285"/>
      <c r="J10" s="285"/>
      <c r="K10" s="285"/>
      <c r="L10" s="265"/>
      <c r="N10" s="95" t="s">
        <v>126</v>
      </c>
      <c r="O10" s="98" t="s">
        <v>8</v>
      </c>
      <c r="P10" s="12">
        <v>3331</v>
      </c>
      <c r="Q10" s="55">
        <f t="shared" si="1"/>
        <v>128.11538461538461</v>
      </c>
      <c r="R10" s="55">
        <f t="shared" si="0"/>
        <v>5.5702341137123748</v>
      </c>
      <c r="S10" s="31" t="s">
        <v>290</v>
      </c>
      <c r="T10" s="289"/>
      <c r="U10" s="31"/>
      <c r="V10" s="31"/>
      <c r="W10" s="31">
        <v>23</v>
      </c>
      <c r="X10" s="31"/>
      <c r="Y10" s="31"/>
      <c r="Z10" s="59"/>
      <c r="AA10" s="64"/>
    </row>
    <row r="11" spans="2:31" x14ac:dyDescent="0.25">
      <c r="B11" s="14" t="s">
        <v>1</v>
      </c>
      <c r="C11" s="14" t="s">
        <v>6</v>
      </c>
      <c r="D11" s="14" t="s">
        <v>1</v>
      </c>
      <c r="E11" s="14" t="s">
        <v>6</v>
      </c>
      <c r="F11" s="23"/>
      <c r="G11" s="23"/>
      <c r="H11" s="264"/>
      <c r="I11" s="285"/>
      <c r="J11" s="285"/>
      <c r="K11" s="285"/>
      <c r="L11" s="265"/>
      <c r="N11" s="95" t="s">
        <v>127</v>
      </c>
      <c r="O11" s="98" t="s">
        <v>9</v>
      </c>
      <c r="P11" s="12">
        <f>+P10+P7</f>
        <v>10916</v>
      </c>
      <c r="Q11" s="55">
        <f>+P11/$AE$7</f>
        <v>419.84615384615387</v>
      </c>
      <c r="R11" s="55">
        <f t="shared" si="0"/>
        <v>104.96153846153847</v>
      </c>
      <c r="S11" s="31" t="str">
        <f>"DESCARGAS TK 15"</f>
        <v>DESCARGAS TK 15</v>
      </c>
      <c r="T11" s="56" t="s">
        <v>270</v>
      </c>
      <c r="U11" s="31">
        <v>3.7</v>
      </c>
      <c r="V11" s="31">
        <f t="shared" ref="V11:V69" si="2">U11</f>
        <v>3.7</v>
      </c>
      <c r="W11" s="31">
        <v>4</v>
      </c>
      <c r="X11" s="31">
        <f>+W11*26</f>
        <v>104</v>
      </c>
      <c r="Y11" s="31">
        <f>+X11*V11</f>
        <v>384.8</v>
      </c>
      <c r="Z11" s="59">
        <f t="shared" ref="Z11:Z72" si="3">Y11*$AE$4</f>
        <v>201250.4</v>
      </c>
      <c r="AA11" s="64">
        <f>Z11/P11</f>
        <v>18.436277024551117</v>
      </c>
    </row>
    <row r="12" spans="2:31" x14ac:dyDescent="0.25">
      <c r="B12" s="12" t="s">
        <v>4</v>
      </c>
      <c r="C12" s="12">
        <v>903</v>
      </c>
      <c r="D12" s="12"/>
      <c r="E12" s="12"/>
      <c r="F12" s="13">
        <v>80</v>
      </c>
      <c r="G12" s="13"/>
      <c r="H12" s="264"/>
      <c r="I12" s="285"/>
      <c r="J12" s="285"/>
      <c r="K12" s="285"/>
      <c r="L12" s="265"/>
      <c r="N12" s="95" t="s">
        <v>129</v>
      </c>
      <c r="O12" s="98" t="s">
        <v>10</v>
      </c>
      <c r="P12" s="12">
        <f>P6</f>
        <v>1246</v>
      </c>
      <c r="Q12" s="55">
        <f>+P12/$AE$7</f>
        <v>47.92307692307692</v>
      </c>
      <c r="R12" s="55">
        <f t="shared" si="0"/>
        <v>47.92307692307692</v>
      </c>
      <c r="S12" s="31" t="str">
        <f>"MULAS + ROTATIVA"</f>
        <v>MULAS + ROTATIVA</v>
      </c>
      <c r="T12" s="56" t="s">
        <v>271</v>
      </c>
      <c r="U12" s="31">
        <v>3.05</v>
      </c>
      <c r="V12" s="31">
        <f t="shared" si="2"/>
        <v>3.05</v>
      </c>
      <c r="W12" s="31">
        <v>1</v>
      </c>
      <c r="X12" s="31">
        <f t="shared" ref="X12:X72" si="4">+W12*26</f>
        <v>26</v>
      </c>
      <c r="Y12" s="31">
        <f>+X12*V12</f>
        <v>79.3</v>
      </c>
      <c r="Z12" s="59">
        <f t="shared" si="3"/>
        <v>41473.9</v>
      </c>
      <c r="AA12" s="64">
        <f>Z12/P12</f>
        <v>33.28563402889246</v>
      </c>
    </row>
    <row r="13" spans="2:31" x14ac:dyDescent="0.25">
      <c r="B13" s="12" t="s">
        <v>5</v>
      </c>
      <c r="C13" s="12">
        <f>640.6*0.7</f>
        <v>448.41999999999996</v>
      </c>
      <c r="D13" s="12" t="s">
        <v>15</v>
      </c>
      <c r="E13" s="12">
        <f>+C12+C13+C14</f>
        <v>1689.1000000000001</v>
      </c>
      <c r="F13" s="13">
        <v>20</v>
      </c>
      <c r="G13" s="13">
        <v>110</v>
      </c>
      <c r="H13" s="264"/>
      <c r="I13" s="285"/>
      <c r="J13" s="285"/>
      <c r="K13" s="285"/>
      <c r="L13" s="265"/>
      <c r="N13" s="95" t="s">
        <v>128</v>
      </c>
      <c r="O13" s="98" t="s">
        <v>15</v>
      </c>
      <c r="P13" s="12">
        <f>+P9+P8</f>
        <v>36821</v>
      </c>
      <c r="Q13" s="55">
        <f t="shared" ref="Q13" si="5">+P13/$AE$7</f>
        <v>1416.1923076923076</v>
      </c>
      <c r="R13" s="55">
        <f t="shared" si="0"/>
        <v>61.57357859531772</v>
      </c>
      <c r="S13" s="31" t="str">
        <f>"90% LAV + TINTORERIA"</f>
        <v>90% LAV + TINTORERIA</v>
      </c>
      <c r="T13" s="56" t="s">
        <v>272</v>
      </c>
      <c r="U13" s="31"/>
      <c r="V13" s="31"/>
      <c r="W13" s="31">
        <v>23</v>
      </c>
      <c r="X13" s="31"/>
      <c r="Y13" s="31"/>
      <c r="Z13" s="59"/>
      <c r="AA13" s="64"/>
    </row>
    <row r="14" spans="2:31" x14ac:dyDescent="0.25">
      <c r="B14" s="12" t="s">
        <v>9</v>
      </c>
      <c r="C14" s="12">
        <f>+E20</f>
        <v>337.68000000000006</v>
      </c>
      <c r="D14" s="12"/>
      <c r="E14" s="12"/>
      <c r="F14" s="13">
        <v>10</v>
      </c>
      <c r="G14" s="24"/>
      <c r="H14" s="264"/>
      <c r="I14" s="285"/>
      <c r="J14" s="285"/>
      <c r="K14" s="285"/>
      <c r="L14" s="265"/>
      <c r="N14" s="95" t="s">
        <v>132</v>
      </c>
      <c r="O14" s="98" t="s">
        <v>131</v>
      </c>
      <c r="P14" s="12">
        <f>+P13+P12+P11</f>
        <v>48983</v>
      </c>
      <c r="Q14" s="55">
        <f>+P14/$AE$7</f>
        <v>1883.9615384615386</v>
      </c>
      <c r="R14" s="55">
        <f t="shared" si="0"/>
        <v>81.911371237458198</v>
      </c>
      <c r="S14" s="31" t="str">
        <f>"TK30+TK15+TK2"</f>
        <v>TK30+TK15+TK2</v>
      </c>
      <c r="T14" s="56" t="s">
        <v>273</v>
      </c>
      <c r="U14" s="31"/>
      <c r="V14" s="31"/>
      <c r="W14" s="31">
        <v>23</v>
      </c>
      <c r="X14" s="31"/>
      <c r="Y14" s="31"/>
      <c r="Z14" s="59"/>
      <c r="AA14" s="64"/>
    </row>
    <row r="15" spans="2:31" ht="15.75" thickBot="1" x14ac:dyDescent="0.3">
      <c r="B15" s="14" t="s">
        <v>12</v>
      </c>
      <c r="C15" s="14">
        <f>+C12+C13+C14</f>
        <v>1689.1000000000001</v>
      </c>
      <c r="D15" s="14" t="s">
        <v>13</v>
      </c>
      <c r="E15" s="14">
        <f>+E13</f>
        <v>1689.1000000000001</v>
      </c>
      <c r="F15" s="24">
        <f>+C15-E15</f>
        <v>0</v>
      </c>
      <c r="G15" s="16">
        <f>SUM(G12:G14)</f>
        <v>110</v>
      </c>
      <c r="H15" s="266"/>
      <c r="I15" s="286"/>
      <c r="J15" s="286"/>
      <c r="K15" s="286"/>
      <c r="L15" s="267"/>
      <c r="N15" s="96" t="s">
        <v>135</v>
      </c>
      <c r="O15" s="99" t="s">
        <v>16</v>
      </c>
      <c r="P15" s="86">
        <f>+P14</f>
        <v>48983</v>
      </c>
      <c r="Q15" s="87">
        <f>+P15/$AE$7</f>
        <v>1883.9615384615386</v>
      </c>
      <c r="R15" s="87">
        <f t="shared" si="0"/>
        <v>81.911371237458198</v>
      </c>
      <c r="S15" s="88" t="str">
        <f>"ENTRADA TK 60"</f>
        <v>ENTRADA TK 60</v>
      </c>
      <c r="T15" s="89" t="s">
        <v>274</v>
      </c>
      <c r="U15" s="88">
        <v>18.5</v>
      </c>
      <c r="V15" s="88">
        <f t="shared" si="2"/>
        <v>18.5</v>
      </c>
      <c r="W15" s="88">
        <v>23</v>
      </c>
      <c r="X15" s="88">
        <f t="shared" si="4"/>
        <v>598</v>
      </c>
      <c r="Y15" s="88">
        <f t="shared" ref="Y15:Y72" si="6">+X15*V15</f>
        <v>11063</v>
      </c>
      <c r="Z15" s="90">
        <f t="shared" si="3"/>
        <v>5785949</v>
      </c>
      <c r="AA15" s="91">
        <f>Z15/P15</f>
        <v>118.12157279055999</v>
      </c>
    </row>
    <row r="16" spans="2:31" x14ac:dyDescent="0.25">
      <c r="N16" s="100" t="s">
        <v>136</v>
      </c>
      <c r="O16" s="101" t="s">
        <v>18</v>
      </c>
      <c r="P16" s="79">
        <v>2.85</v>
      </c>
      <c r="Q16" s="80">
        <f t="shared" ref="Q16:Q17" si="7">+P16/$AE$7</f>
        <v>0.10961538461538461</v>
      </c>
      <c r="R16" s="80">
        <f t="shared" si="0"/>
        <v>4.7658862876254178E-3</v>
      </c>
      <c r="S16" s="62" t="s">
        <v>234</v>
      </c>
      <c r="T16" s="61" t="s">
        <v>276</v>
      </c>
      <c r="U16" s="62"/>
      <c r="V16" s="62"/>
      <c r="W16" s="62">
        <v>23</v>
      </c>
      <c r="X16" s="62"/>
      <c r="Y16" s="62"/>
      <c r="Z16" s="81"/>
      <c r="AA16" s="63"/>
    </row>
    <row r="17" spans="2:27" x14ac:dyDescent="0.25">
      <c r="B17" s="255" t="s">
        <v>29</v>
      </c>
      <c r="C17" s="255"/>
      <c r="D17" s="255"/>
      <c r="E17" s="255"/>
      <c r="F17" s="260" t="s">
        <v>81</v>
      </c>
      <c r="G17" s="261"/>
      <c r="H17" s="262"/>
      <c r="I17" s="284"/>
      <c r="J17" s="263"/>
      <c r="N17" s="102" t="s">
        <v>137</v>
      </c>
      <c r="O17" s="103" t="s">
        <v>130</v>
      </c>
      <c r="P17" s="12">
        <f>+P15-P16</f>
        <v>48980.15</v>
      </c>
      <c r="Q17" s="55">
        <f t="shared" si="7"/>
        <v>1883.8519230769232</v>
      </c>
      <c r="R17" s="55">
        <f t="shared" si="0"/>
        <v>81.906605351170569</v>
      </c>
      <c r="S17" s="31" t="s">
        <v>235</v>
      </c>
      <c r="T17" s="56" t="s">
        <v>275</v>
      </c>
      <c r="U17" s="31">
        <v>1.1000000000000001</v>
      </c>
      <c r="V17" s="31">
        <f t="shared" si="2"/>
        <v>1.1000000000000001</v>
      </c>
      <c r="W17" s="31">
        <v>23</v>
      </c>
      <c r="X17" s="31">
        <f t="shared" si="4"/>
        <v>598</v>
      </c>
      <c r="Y17" s="31">
        <f t="shared" si="6"/>
        <v>657.80000000000007</v>
      </c>
      <c r="Z17" s="59">
        <f t="shared" si="3"/>
        <v>344029.4</v>
      </c>
      <c r="AA17" s="64">
        <f>Z17/P17</f>
        <v>7.0238535406690268</v>
      </c>
    </row>
    <row r="18" spans="2:27" x14ac:dyDescent="0.25">
      <c r="B18" s="256" t="s">
        <v>0</v>
      </c>
      <c r="C18" s="256"/>
      <c r="D18" s="256" t="s">
        <v>7</v>
      </c>
      <c r="E18" s="256"/>
      <c r="F18" s="18" t="s">
        <v>68</v>
      </c>
      <c r="G18" s="18" t="s">
        <v>69</v>
      </c>
      <c r="H18" s="264"/>
      <c r="I18" s="285"/>
      <c r="J18" s="265"/>
      <c r="N18" s="102" t="s">
        <v>138</v>
      </c>
      <c r="O18" s="103" t="s">
        <v>32</v>
      </c>
      <c r="P18" s="12">
        <f>+P17/2</f>
        <v>24490.075000000001</v>
      </c>
      <c r="Q18" s="55">
        <f>+P18/$AE$7</f>
        <v>941.92596153846159</v>
      </c>
      <c r="R18" s="55">
        <f t="shared" si="0"/>
        <v>40.953302675585284</v>
      </c>
      <c r="S18" s="31" t="s">
        <v>236</v>
      </c>
      <c r="T18" s="289" t="s">
        <v>277</v>
      </c>
      <c r="U18" s="31"/>
      <c r="V18" s="31"/>
      <c r="W18" s="31">
        <v>23</v>
      </c>
      <c r="X18" s="31"/>
      <c r="Y18" s="31"/>
      <c r="Z18" s="59"/>
      <c r="AA18" s="64"/>
    </row>
    <row r="19" spans="2:27" x14ac:dyDescent="0.25">
      <c r="B19" s="14" t="s">
        <v>1</v>
      </c>
      <c r="C19" s="14" t="s">
        <v>6</v>
      </c>
      <c r="D19" s="14" t="s">
        <v>1</v>
      </c>
      <c r="E19" s="14" t="s">
        <v>6</v>
      </c>
      <c r="F19" s="13"/>
      <c r="G19" s="13"/>
      <c r="H19" s="264"/>
      <c r="I19" s="285"/>
      <c r="J19" s="265"/>
      <c r="N19" s="102" t="s">
        <v>139</v>
      </c>
      <c r="O19" s="103" t="s">
        <v>33</v>
      </c>
      <c r="P19" s="12">
        <f>+P18</f>
        <v>24490.075000000001</v>
      </c>
      <c r="Q19" s="55">
        <f>+P19/$AE$7</f>
        <v>941.92596153846159</v>
      </c>
      <c r="R19" s="55">
        <f t="shared" si="0"/>
        <v>40.953302675585284</v>
      </c>
      <c r="S19" s="31" t="s">
        <v>236</v>
      </c>
      <c r="T19" s="289"/>
      <c r="U19" s="31"/>
      <c r="V19" s="31"/>
      <c r="W19" s="31">
        <v>23</v>
      </c>
      <c r="X19" s="31"/>
      <c r="Y19" s="31"/>
      <c r="Z19" s="59"/>
      <c r="AA19" s="64"/>
    </row>
    <row r="20" spans="2:27" x14ac:dyDescent="0.25">
      <c r="B20" s="12" t="s">
        <v>8</v>
      </c>
      <c r="C20" s="12">
        <f>640.6-C13</f>
        <v>192.18000000000006</v>
      </c>
      <c r="D20" s="12" t="s">
        <v>9</v>
      </c>
      <c r="E20" s="12">
        <f>+C20+C21</f>
        <v>337.68000000000006</v>
      </c>
      <c r="F20" s="13">
        <v>10</v>
      </c>
      <c r="G20" s="13">
        <v>10</v>
      </c>
      <c r="H20" s="264"/>
      <c r="I20" s="285"/>
      <c r="J20" s="265"/>
      <c r="N20" s="102" t="s">
        <v>142</v>
      </c>
      <c r="O20" s="103" t="s">
        <v>36</v>
      </c>
      <c r="P20" s="12">
        <v>1.07</v>
      </c>
      <c r="Q20" s="55">
        <f t="shared" ref="Q20:Q21" si="8">+P20/$AE$7</f>
        <v>4.1153846153846159E-2</v>
      </c>
      <c r="R20" s="55">
        <f t="shared" si="0"/>
        <v>1.7892976588628764E-3</v>
      </c>
      <c r="S20" s="31" t="s">
        <v>237</v>
      </c>
      <c r="T20" s="289"/>
      <c r="U20" s="31"/>
      <c r="V20" s="31"/>
      <c r="W20" s="31">
        <v>23</v>
      </c>
      <c r="X20" s="31"/>
      <c r="Y20" s="31"/>
      <c r="Z20" s="59"/>
      <c r="AA20" s="64"/>
    </row>
    <row r="21" spans="2:27" x14ac:dyDescent="0.25">
      <c r="B21" s="12" t="s">
        <v>3</v>
      </c>
      <c r="C21" s="12">
        <f>291/2</f>
        <v>145.5</v>
      </c>
      <c r="D21" s="12"/>
      <c r="E21" s="12"/>
      <c r="F21" s="13"/>
      <c r="G21" s="13"/>
      <c r="H21" s="264"/>
      <c r="I21" s="285"/>
      <c r="J21" s="265"/>
      <c r="N21" s="102" t="s">
        <v>143</v>
      </c>
      <c r="O21" s="103" t="s">
        <v>40</v>
      </c>
      <c r="P21" s="12">
        <v>1.07</v>
      </c>
      <c r="Q21" s="55">
        <f t="shared" si="8"/>
        <v>4.1153846153846159E-2</v>
      </c>
      <c r="R21" s="55">
        <f t="shared" si="0"/>
        <v>1.7892976588628764E-3</v>
      </c>
      <c r="S21" s="31" t="s">
        <v>237</v>
      </c>
      <c r="T21" s="289"/>
      <c r="U21" s="31"/>
      <c r="V21" s="31"/>
      <c r="W21" s="31">
        <v>23</v>
      </c>
      <c r="X21" s="31"/>
      <c r="Y21" s="31"/>
      <c r="Z21" s="59"/>
      <c r="AA21" s="64"/>
    </row>
    <row r="22" spans="2:27" x14ac:dyDescent="0.25">
      <c r="B22" s="14" t="s">
        <v>12</v>
      </c>
      <c r="C22" s="14">
        <f>+C20+C21</f>
        <v>337.68000000000006</v>
      </c>
      <c r="D22" s="14" t="s">
        <v>13</v>
      </c>
      <c r="E22" s="14">
        <f>+E20</f>
        <v>337.68000000000006</v>
      </c>
      <c r="F22" s="24">
        <f>+C22-E22</f>
        <v>0</v>
      </c>
      <c r="G22" s="17">
        <f>SUM(G19:G20)</f>
        <v>10</v>
      </c>
      <c r="H22" s="266"/>
      <c r="I22" s="286"/>
      <c r="J22" s="267"/>
      <c r="N22" s="102" t="s">
        <v>140</v>
      </c>
      <c r="O22" s="103" t="s">
        <v>38</v>
      </c>
      <c r="P22" s="12">
        <f>+P18-P20</f>
        <v>24489.005000000001</v>
      </c>
      <c r="Q22" s="55">
        <f>+P22/$AE$7</f>
        <v>941.88480769230773</v>
      </c>
      <c r="R22" s="55">
        <f t="shared" si="0"/>
        <v>40.951513377926425</v>
      </c>
      <c r="S22" s="31" t="s">
        <v>238</v>
      </c>
      <c r="T22" s="56" t="s">
        <v>278</v>
      </c>
      <c r="U22" s="31">
        <v>1.1000000000000001</v>
      </c>
      <c r="V22" s="31">
        <f t="shared" si="2"/>
        <v>1.1000000000000001</v>
      </c>
      <c r="W22" s="31">
        <v>23</v>
      </c>
      <c r="X22" s="31">
        <f t="shared" si="4"/>
        <v>598</v>
      </c>
      <c r="Y22" s="31">
        <f t="shared" si="6"/>
        <v>657.80000000000007</v>
      </c>
      <c r="Z22" s="59">
        <f t="shared" si="3"/>
        <v>344029.4</v>
      </c>
      <c r="AA22" s="64">
        <f t="shared" ref="AA22:AA69" si="9">Z22/P22</f>
        <v>14.048320868896061</v>
      </c>
    </row>
    <row r="23" spans="2:27" x14ac:dyDescent="0.25">
      <c r="N23" s="102" t="s">
        <v>141</v>
      </c>
      <c r="O23" s="103" t="s">
        <v>42</v>
      </c>
      <c r="P23" s="12">
        <f>+P19-P21</f>
        <v>24489.005000000001</v>
      </c>
      <c r="Q23" s="55">
        <f>+P23/$AE$7</f>
        <v>941.88480769230773</v>
      </c>
      <c r="R23" s="55">
        <f t="shared" si="0"/>
        <v>40.951513377926425</v>
      </c>
      <c r="S23" s="31" t="s">
        <v>238</v>
      </c>
      <c r="T23" s="56" t="s">
        <v>278</v>
      </c>
      <c r="U23" s="31">
        <v>1.1000000000000001</v>
      </c>
      <c r="V23" s="31">
        <f t="shared" si="2"/>
        <v>1.1000000000000001</v>
      </c>
      <c r="W23" s="31">
        <v>23</v>
      </c>
      <c r="X23" s="31">
        <f t="shared" si="4"/>
        <v>598</v>
      </c>
      <c r="Y23" s="31">
        <f t="shared" si="6"/>
        <v>657.80000000000007</v>
      </c>
      <c r="Z23" s="59">
        <f t="shared" si="3"/>
        <v>344029.4</v>
      </c>
      <c r="AA23" s="64">
        <f t="shared" si="9"/>
        <v>14.048320868896061</v>
      </c>
    </row>
    <row r="24" spans="2:27" x14ac:dyDescent="0.25">
      <c r="B24" s="255" t="s">
        <v>30</v>
      </c>
      <c r="C24" s="255"/>
      <c r="D24" s="255"/>
      <c r="E24" s="255"/>
      <c r="F24" s="260" t="s">
        <v>81</v>
      </c>
      <c r="G24" s="261"/>
      <c r="H24" s="207"/>
      <c r="I24" s="207"/>
      <c r="J24" s="207"/>
      <c r="N24" s="102" t="s">
        <v>144</v>
      </c>
      <c r="O24" s="103" t="s">
        <v>133</v>
      </c>
      <c r="P24" s="12">
        <f>+P22+P23</f>
        <v>48978.01</v>
      </c>
      <c r="Q24" s="55">
        <f t="shared" ref="Q24:Q36" si="10">+P24/$AE$7</f>
        <v>1883.7696153846155</v>
      </c>
      <c r="R24" s="55">
        <f t="shared" si="0"/>
        <v>81.903026755852849</v>
      </c>
      <c r="S24" s="31" t="s">
        <v>239</v>
      </c>
      <c r="T24" s="56" t="s">
        <v>277</v>
      </c>
      <c r="U24" s="31"/>
      <c r="V24" s="31"/>
      <c r="W24" s="31">
        <v>23</v>
      </c>
      <c r="X24" s="31"/>
      <c r="Y24" s="31"/>
      <c r="Z24" s="59"/>
      <c r="AA24" s="64"/>
    </row>
    <row r="25" spans="2:27" x14ac:dyDescent="0.25">
      <c r="B25" s="256" t="s">
        <v>0</v>
      </c>
      <c r="C25" s="256"/>
      <c r="D25" s="256" t="s">
        <v>7</v>
      </c>
      <c r="E25" s="256"/>
      <c r="F25" s="18" t="s">
        <v>68</v>
      </c>
      <c r="G25" s="18" t="s">
        <v>69</v>
      </c>
      <c r="H25" s="207"/>
      <c r="I25" s="207"/>
      <c r="J25" s="207"/>
      <c r="N25" s="102" t="s">
        <v>145</v>
      </c>
      <c r="O25" s="103" t="s">
        <v>20</v>
      </c>
      <c r="P25" s="12">
        <f>+P24</f>
        <v>48978.01</v>
      </c>
      <c r="Q25" s="55">
        <f t="shared" si="10"/>
        <v>1883.7696153846155</v>
      </c>
      <c r="R25" s="55">
        <f t="shared" si="0"/>
        <v>81.903026755852849</v>
      </c>
      <c r="S25" s="31" t="s">
        <v>240</v>
      </c>
      <c r="T25" s="56" t="s">
        <v>279</v>
      </c>
      <c r="U25" s="31">
        <v>7.5</v>
      </c>
      <c r="V25" s="31">
        <f t="shared" si="2"/>
        <v>7.5</v>
      </c>
      <c r="W25" s="31">
        <v>23</v>
      </c>
      <c r="X25" s="31">
        <f t="shared" si="4"/>
        <v>598</v>
      </c>
      <c r="Y25" s="31">
        <f t="shared" si="6"/>
        <v>4485</v>
      </c>
      <c r="Z25" s="59">
        <f t="shared" si="3"/>
        <v>2345655</v>
      </c>
      <c r="AA25" s="64">
        <f t="shared" si="9"/>
        <v>47.892002962145661</v>
      </c>
    </row>
    <row r="26" spans="2:27" x14ac:dyDescent="0.25">
      <c r="B26" s="14" t="s">
        <v>1</v>
      </c>
      <c r="C26" s="14" t="s">
        <v>6</v>
      </c>
      <c r="D26" s="14" t="s">
        <v>1</v>
      </c>
      <c r="E26" s="14" t="s">
        <v>6</v>
      </c>
      <c r="F26" s="25"/>
      <c r="G26" s="25"/>
      <c r="H26" s="207"/>
      <c r="I26" s="207"/>
      <c r="J26" s="207"/>
      <c r="N26" s="102" t="s">
        <v>146</v>
      </c>
      <c r="O26" s="103" t="s">
        <v>22</v>
      </c>
      <c r="P26" s="12">
        <v>2.5</v>
      </c>
      <c r="Q26" s="55">
        <f t="shared" si="10"/>
        <v>9.6153846153846159E-2</v>
      </c>
      <c r="R26" s="55">
        <f t="shared" si="0"/>
        <v>4.180602006688963E-3</v>
      </c>
      <c r="S26" s="31" t="s">
        <v>241</v>
      </c>
      <c r="T26" s="56" t="s">
        <v>277</v>
      </c>
      <c r="U26" s="31"/>
      <c r="V26" s="31"/>
      <c r="W26" s="31">
        <v>23</v>
      </c>
      <c r="X26" s="31"/>
      <c r="Y26" s="31"/>
      <c r="Z26" s="59"/>
      <c r="AA26" s="64"/>
    </row>
    <row r="27" spans="2:27" x14ac:dyDescent="0.25">
      <c r="B27" s="12" t="s">
        <v>10</v>
      </c>
      <c r="C27" s="12">
        <f>+E5</f>
        <v>193.4</v>
      </c>
      <c r="D27" s="12" t="s">
        <v>16</v>
      </c>
      <c r="E27" s="12">
        <f>+C27+C28</f>
        <v>1882.5000000000002</v>
      </c>
      <c r="F27" s="25">
        <v>18</v>
      </c>
      <c r="G27" s="25">
        <v>128</v>
      </c>
      <c r="H27" s="207"/>
      <c r="I27" s="207"/>
      <c r="J27" s="207"/>
      <c r="N27" s="102" t="s">
        <v>147</v>
      </c>
      <c r="O27" s="103" t="s">
        <v>25</v>
      </c>
      <c r="P27" s="12">
        <f>+P25-P26</f>
        <v>48975.51</v>
      </c>
      <c r="Q27" s="55">
        <f t="shared" si="10"/>
        <v>1883.6734615384617</v>
      </c>
      <c r="R27" s="55">
        <f t="shared" si="0"/>
        <v>81.898846153846165</v>
      </c>
      <c r="S27" s="31" t="s">
        <v>242</v>
      </c>
      <c r="T27" s="56" t="s">
        <v>280</v>
      </c>
      <c r="U27" s="32">
        <v>11.2</v>
      </c>
      <c r="V27" s="31">
        <f t="shared" si="2"/>
        <v>11.2</v>
      </c>
      <c r="W27" s="58">
        <v>23</v>
      </c>
      <c r="X27" s="31">
        <f t="shared" si="4"/>
        <v>598</v>
      </c>
      <c r="Y27" s="31">
        <f t="shared" si="6"/>
        <v>6697.5999999999995</v>
      </c>
      <c r="Z27" s="59">
        <f t="shared" si="3"/>
        <v>3502844.8</v>
      </c>
      <c r="AA27" s="64">
        <f t="shared" si="9"/>
        <v>71.522375162606778</v>
      </c>
    </row>
    <row r="28" spans="2:27" x14ac:dyDescent="0.25">
      <c r="B28" s="12" t="s">
        <v>15</v>
      </c>
      <c r="C28" s="12">
        <f>+E13</f>
        <v>1689.1000000000001</v>
      </c>
      <c r="D28" s="12"/>
      <c r="E28" s="12"/>
      <c r="F28" s="25">
        <v>110</v>
      </c>
      <c r="G28" s="25"/>
      <c r="H28" s="207"/>
      <c r="I28" s="207"/>
      <c r="J28" s="207"/>
      <c r="N28" s="102" t="s">
        <v>148</v>
      </c>
      <c r="O28" s="103" t="s">
        <v>49</v>
      </c>
      <c r="P28" s="12">
        <v>104</v>
      </c>
      <c r="Q28" s="55">
        <f t="shared" si="10"/>
        <v>4</v>
      </c>
      <c r="R28" s="55">
        <f t="shared" si="0"/>
        <v>0.17391304347826086</v>
      </c>
      <c r="S28" s="31" t="s">
        <v>245</v>
      </c>
      <c r="T28" s="56" t="s">
        <v>281</v>
      </c>
      <c r="U28" s="31"/>
      <c r="V28" s="31"/>
      <c r="W28" s="31">
        <v>23</v>
      </c>
      <c r="X28" s="31"/>
      <c r="Y28" s="31"/>
      <c r="Z28" s="59"/>
      <c r="AA28" s="64"/>
    </row>
    <row r="29" spans="2:27" x14ac:dyDescent="0.25">
      <c r="B29" s="14" t="s">
        <v>12</v>
      </c>
      <c r="C29" s="14">
        <f>+C27+C28</f>
        <v>1882.5000000000002</v>
      </c>
      <c r="D29" s="14" t="s">
        <v>13</v>
      </c>
      <c r="E29" s="14">
        <f>+E27</f>
        <v>1882.5000000000002</v>
      </c>
      <c r="F29" s="24">
        <f>+C29-E29</f>
        <v>0</v>
      </c>
      <c r="G29" s="16">
        <f>G28+G27</f>
        <v>128</v>
      </c>
      <c r="H29" s="207"/>
      <c r="I29" s="207"/>
      <c r="J29" s="207"/>
      <c r="N29" s="102" t="s">
        <v>149</v>
      </c>
      <c r="O29" s="103" t="s">
        <v>134</v>
      </c>
      <c r="P29" s="12"/>
      <c r="Q29" s="12"/>
      <c r="R29" s="55">
        <v>0</v>
      </c>
      <c r="S29" s="31"/>
      <c r="T29" s="56" t="s">
        <v>282</v>
      </c>
      <c r="U29" s="31">
        <v>15</v>
      </c>
      <c r="V29" s="88">
        <f t="shared" si="2"/>
        <v>15</v>
      </c>
      <c r="W29" s="31">
        <v>0</v>
      </c>
      <c r="X29" s="31">
        <f t="shared" si="4"/>
        <v>0</v>
      </c>
      <c r="Y29" s="88"/>
      <c r="Z29" s="59"/>
      <c r="AA29" s="64"/>
    </row>
    <row r="30" spans="2:27" ht="15" customHeight="1" x14ac:dyDescent="0.25">
      <c r="B30" s="20"/>
      <c r="C30" s="20"/>
      <c r="D30" s="20"/>
      <c r="E30" s="20"/>
      <c r="F30" s="20"/>
      <c r="G30" s="53"/>
      <c r="H30" s="22"/>
      <c r="I30" s="22"/>
      <c r="J30" s="22"/>
      <c r="N30" s="237" t="s">
        <v>244</v>
      </c>
      <c r="O30" s="287"/>
      <c r="P30" s="12">
        <f>+P32</f>
        <v>49079.51</v>
      </c>
      <c r="Q30" s="32">
        <f t="shared" si="10"/>
        <v>1887.6734615384617</v>
      </c>
      <c r="R30" s="55">
        <f t="shared" si="0"/>
        <v>82.072759197324416</v>
      </c>
      <c r="S30" s="31" t="s">
        <v>246</v>
      </c>
      <c r="T30" s="289" t="s">
        <v>283</v>
      </c>
      <c r="U30" s="120">
        <v>25</v>
      </c>
      <c r="V30" s="88">
        <f>+U30+U31</f>
        <v>49</v>
      </c>
      <c r="W30" s="121">
        <v>23</v>
      </c>
      <c r="X30" s="31">
        <f t="shared" si="4"/>
        <v>598</v>
      </c>
      <c r="Y30" s="88">
        <f t="shared" si="6"/>
        <v>29302</v>
      </c>
      <c r="Z30" s="59">
        <f t="shared" si="3"/>
        <v>15324946</v>
      </c>
      <c r="AA30" s="64">
        <f t="shared" si="9"/>
        <v>312.24733091263545</v>
      </c>
    </row>
    <row r="31" spans="2:27" x14ac:dyDescent="0.25">
      <c r="B31" s="20"/>
      <c r="C31" s="20"/>
      <c r="D31" s="20"/>
      <c r="E31" s="20"/>
      <c r="F31" s="20"/>
      <c r="G31" s="53"/>
      <c r="H31" s="22"/>
      <c r="I31" s="22"/>
      <c r="J31" s="22"/>
      <c r="N31" s="283"/>
      <c r="O31" s="288"/>
      <c r="P31" s="12"/>
      <c r="Q31" s="12"/>
      <c r="R31" s="55">
        <f t="shared" si="0"/>
        <v>0</v>
      </c>
      <c r="S31" s="31"/>
      <c r="T31" s="289"/>
      <c r="U31" s="120">
        <v>24</v>
      </c>
      <c r="V31" s="122"/>
      <c r="W31" s="121">
        <v>23</v>
      </c>
      <c r="X31" s="31">
        <f t="shared" si="4"/>
        <v>598</v>
      </c>
      <c r="Y31" s="122"/>
      <c r="Z31" s="59"/>
      <c r="AA31" s="64"/>
    </row>
    <row r="32" spans="2:27" ht="15" customHeight="1" x14ac:dyDescent="0.25">
      <c r="B32" s="20"/>
      <c r="C32" s="20"/>
      <c r="D32" s="20"/>
      <c r="E32" s="20"/>
      <c r="F32" s="20"/>
      <c r="G32" s="20"/>
      <c r="N32" s="237" t="s">
        <v>150</v>
      </c>
      <c r="O32" s="290" t="s">
        <v>108</v>
      </c>
      <c r="P32" s="12">
        <f>+P27+P28</f>
        <v>49079.51</v>
      </c>
      <c r="Q32" s="32">
        <f t="shared" si="10"/>
        <v>1887.6734615384617</v>
      </c>
      <c r="R32" s="55">
        <f t="shared" si="0"/>
        <v>82.072759197324416</v>
      </c>
      <c r="S32" s="31" t="s">
        <v>243</v>
      </c>
      <c r="T32" s="292" t="s">
        <v>284</v>
      </c>
      <c r="U32" s="120">
        <v>3</v>
      </c>
      <c r="V32" s="88">
        <f>+U33+U32</f>
        <v>40</v>
      </c>
      <c r="W32" s="121">
        <v>23</v>
      </c>
      <c r="X32" s="31">
        <f t="shared" si="4"/>
        <v>598</v>
      </c>
      <c r="Y32" s="88">
        <f t="shared" si="6"/>
        <v>23920</v>
      </c>
      <c r="Z32" s="59">
        <f t="shared" si="3"/>
        <v>12510160</v>
      </c>
      <c r="AA32" s="64">
        <f>Z32/P32</f>
        <v>254.89578033684523</v>
      </c>
    </row>
    <row r="33" spans="2:27" x14ac:dyDescent="0.25">
      <c r="B33" s="20"/>
      <c r="C33" s="20"/>
      <c r="D33" s="20"/>
      <c r="E33" s="20"/>
      <c r="F33" s="20"/>
      <c r="G33" s="20"/>
      <c r="N33" s="283"/>
      <c r="O33" s="291"/>
      <c r="P33" s="12"/>
      <c r="Q33" s="12"/>
      <c r="R33" s="55">
        <f t="shared" si="0"/>
        <v>0</v>
      </c>
      <c r="S33" s="31"/>
      <c r="T33" s="292"/>
      <c r="U33" s="120">
        <v>37</v>
      </c>
      <c r="V33" s="78"/>
      <c r="W33" s="121">
        <v>23</v>
      </c>
      <c r="X33" s="31">
        <f t="shared" si="4"/>
        <v>598</v>
      </c>
      <c r="Y33" s="78"/>
      <c r="Z33" s="59"/>
      <c r="AA33" s="64"/>
    </row>
    <row r="34" spans="2:27" x14ac:dyDescent="0.25">
      <c r="B34" s="255" t="s">
        <v>31</v>
      </c>
      <c r="C34" s="255"/>
      <c r="D34" s="255"/>
      <c r="E34" s="255"/>
      <c r="F34" s="260" t="s">
        <v>81</v>
      </c>
      <c r="G34" s="261"/>
      <c r="H34" s="207"/>
      <c r="I34" s="207"/>
      <c r="N34" s="102" t="s">
        <v>152</v>
      </c>
      <c r="O34" s="103" t="s">
        <v>79</v>
      </c>
      <c r="P34" s="12">
        <f>+P32</f>
        <v>49079.51</v>
      </c>
      <c r="Q34" s="32">
        <f t="shared" si="10"/>
        <v>1887.6734615384617</v>
      </c>
      <c r="R34" s="55">
        <f t="shared" si="0"/>
        <v>82.072759197324416</v>
      </c>
      <c r="S34" s="31" t="s">
        <v>247</v>
      </c>
      <c r="T34" s="56" t="s">
        <v>285</v>
      </c>
      <c r="U34" s="31">
        <v>22.36</v>
      </c>
      <c r="V34" s="122">
        <f t="shared" si="2"/>
        <v>22.36</v>
      </c>
      <c r="W34" s="31">
        <v>23</v>
      </c>
      <c r="X34" s="31">
        <f t="shared" si="4"/>
        <v>598</v>
      </c>
      <c r="Y34" s="122">
        <f t="shared" si="6"/>
        <v>13371.279999999999</v>
      </c>
      <c r="Z34" s="59">
        <f t="shared" si="3"/>
        <v>6993179.4399999995</v>
      </c>
      <c r="AA34" s="64">
        <f t="shared" si="9"/>
        <v>142.48674120829648</v>
      </c>
    </row>
    <row r="35" spans="2:27" x14ac:dyDescent="0.25">
      <c r="B35" s="256" t="s">
        <v>0</v>
      </c>
      <c r="C35" s="256"/>
      <c r="D35" s="256" t="s">
        <v>7</v>
      </c>
      <c r="E35" s="256"/>
      <c r="F35" s="18" t="s">
        <v>68</v>
      </c>
      <c r="G35" s="18" t="s">
        <v>69</v>
      </c>
      <c r="H35" s="207"/>
      <c r="I35" s="207"/>
      <c r="N35" s="102" t="s">
        <v>151</v>
      </c>
      <c r="O35" s="103" t="s">
        <v>53</v>
      </c>
      <c r="P35" s="86">
        <f>+P34</f>
        <v>49079.51</v>
      </c>
      <c r="Q35" s="32">
        <f t="shared" si="10"/>
        <v>1887.6734615384617</v>
      </c>
      <c r="R35" s="55">
        <f t="shared" si="0"/>
        <v>82.072759197324416</v>
      </c>
      <c r="S35" s="31"/>
      <c r="T35" s="56"/>
      <c r="U35" s="120"/>
      <c r="V35" s="88"/>
      <c r="W35" s="121">
        <v>23</v>
      </c>
      <c r="X35" s="31">
        <f t="shared" si="4"/>
        <v>598</v>
      </c>
      <c r="Y35" s="88"/>
      <c r="Z35" s="59"/>
      <c r="AA35" s="64"/>
    </row>
    <row r="36" spans="2:27" x14ac:dyDescent="0.25">
      <c r="B36" s="14" t="s">
        <v>1</v>
      </c>
      <c r="C36" s="14" t="s">
        <v>6</v>
      </c>
      <c r="D36" s="14" t="s">
        <v>1</v>
      </c>
      <c r="E36" s="14" t="s">
        <v>6</v>
      </c>
      <c r="F36" s="12"/>
      <c r="G36" s="12"/>
      <c r="H36" s="207"/>
      <c r="I36" s="207"/>
      <c r="N36" s="237" t="s">
        <v>153</v>
      </c>
      <c r="O36" s="279" t="s">
        <v>54</v>
      </c>
      <c r="P36" s="86">
        <f>+P40</f>
        <v>127</v>
      </c>
      <c r="Q36" s="116">
        <f t="shared" si="10"/>
        <v>4.884615384615385</v>
      </c>
      <c r="R36" s="55">
        <f t="shared" si="0"/>
        <v>0.21237458193979936</v>
      </c>
      <c r="S36" s="31"/>
      <c r="T36" s="56" t="s">
        <v>286</v>
      </c>
      <c r="U36" s="120">
        <v>1.49</v>
      </c>
      <c r="V36" s="122"/>
      <c r="W36" s="121">
        <v>23</v>
      </c>
      <c r="X36" s="31">
        <f t="shared" si="4"/>
        <v>598</v>
      </c>
      <c r="Y36" s="122"/>
      <c r="Z36" s="59"/>
      <c r="AA36" s="64"/>
    </row>
    <row r="37" spans="2:27" x14ac:dyDescent="0.25">
      <c r="B37" s="14"/>
      <c r="C37" s="14"/>
      <c r="D37" s="14"/>
      <c r="E37" s="14"/>
      <c r="F37" s="12"/>
      <c r="G37" s="12"/>
      <c r="H37" s="207"/>
      <c r="I37" s="207"/>
      <c r="N37" s="238"/>
      <c r="O37" s="280"/>
      <c r="P37" s="118"/>
      <c r="Q37" s="116"/>
      <c r="R37" s="55">
        <f t="shared" si="0"/>
        <v>0</v>
      </c>
      <c r="S37" s="31"/>
      <c r="T37" s="56" t="s">
        <v>287</v>
      </c>
      <c r="U37" s="120">
        <v>0.37</v>
      </c>
      <c r="V37" s="122"/>
      <c r="W37" s="121">
        <v>23</v>
      </c>
      <c r="X37" s="31">
        <f t="shared" si="4"/>
        <v>598</v>
      </c>
      <c r="Y37" s="122"/>
      <c r="Z37" s="59"/>
      <c r="AA37" s="64"/>
    </row>
    <row r="38" spans="2:27" x14ac:dyDescent="0.25">
      <c r="B38" s="14"/>
      <c r="C38" s="14"/>
      <c r="D38" s="14"/>
      <c r="E38" s="14"/>
      <c r="F38" s="12"/>
      <c r="G38" s="12"/>
      <c r="H38" s="207"/>
      <c r="I38" s="207"/>
      <c r="N38" s="238"/>
      <c r="O38" s="280"/>
      <c r="P38" s="118"/>
      <c r="Q38" s="116"/>
      <c r="R38" s="55">
        <f t="shared" si="0"/>
        <v>0</v>
      </c>
      <c r="S38" s="31"/>
      <c r="T38" s="56" t="s">
        <v>288</v>
      </c>
      <c r="U38" s="120">
        <v>0.75</v>
      </c>
      <c r="V38" s="122"/>
      <c r="W38" s="121">
        <v>23</v>
      </c>
      <c r="X38" s="31">
        <f t="shared" si="4"/>
        <v>598</v>
      </c>
      <c r="Y38" s="122"/>
      <c r="Z38" s="59"/>
      <c r="AA38" s="64"/>
    </row>
    <row r="39" spans="2:27" x14ac:dyDescent="0.25">
      <c r="B39" s="14"/>
      <c r="C39" s="14"/>
      <c r="D39" s="14"/>
      <c r="E39" s="14"/>
      <c r="F39" s="12"/>
      <c r="G39" s="12"/>
      <c r="H39" s="207"/>
      <c r="I39" s="207"/>
      <c r="N39" s="283"/>
      <c r="O39" s="281"/>
      <c r="P39" s="77"/>
      <c r="Q39" s="116"/>
      <c r="R39" s="55">
        <f t="shared" si="0"/>
        <v>0</v>
      </c>
      <c r="S39" s="31"/>
      <c r="T39" s="56" t="s">
        <v>289</v>
      </c>
      <c r="U39" s="120">
        <v>0.37</v>
      </c>
      <c r="V39" s="122"/>
      <c r="W39" s="121">
        <v>23</v>
      </c>
      <c r="X39" s="31">
        <f t="shared" si="4"/>
        <v>598</v>
      </c>
      <c r="Y39" s="122"/>
      <c r="Z39" s="59"/>
      <c r="AA39" s="64"/>
    </row>
    <row r="40" spans="2:27" x14ac:dyDescent="0.25">
      <c r="B40" s="12" t="s">
        <v>16</v>
      </c>
      <c r="C40" s="12" t="s">
        <v>28</v>
      </c>
      <c r="D40" s="12" t="s">
        <v>18</v>
      </c>
      <c r="E40" s="26" t="s">
        <v>70</v>
      </c>
      <c r="F40" s="12">
        <v>128</v>
      </c>
      <c r="G40" s="12">
        <v>5.0000000000000001E-3</v>
      </c>
      <c r="H40" s="207"/>
      <c r="I40" s="207"/>
      <c r="N40" s="102" t="s">
        <v>154</v>
      </c>
      <c r="O40" s="103" t="s">
        <v>23</v>
      </c>
      <c r="P40" s="77">
        <v>127</v>
      </c>
      <c r="Q40" s="32">
        <f t="shared" ref="Q40:Q41" si="11">+P40/$AE$7</f>
        <v>4.884615384615385</v>
      </c>
      <c r="R40" s="55">
        <f t="shared" si="0"/>
        <v>0.21237458193979936</v>
      </c>
      <c r="S40" s="31" t="s">
        <v>319</v>
      </c>
      <c r="T40" s="56"/>
      <c r="U40" s="120"/>
      <c r="V40" s="122"/>
      <c r="W40" s="121">
        <v>23</v>
      </c>
      <c r="X40" s="31">
        <f t="shared" si="4"/>
        <v>598</v>
      </c>
      <c r="Y40" s="122"/>
      <c r="Z40" s="59"/>
      <c r="AA40" s="64"/>
    </row>
    <row r="41" spans="2:27" x14ac:dyDescent="0.25">
      <c r="B41" s="12"/>
      <c r="C41" s="12"/>
      <c r="D41" s="12" t="s">
        <v>32</v>
      </c>
      <c r="E41" s="12" t="s">
        <v>34</v>
      </c>
      <c r="F41" s="12"/>
      <c r="G41" s="12">
        <f>(F40/2)-G40</f>
        <v>63.994999999999997</v>
      </c>
      <c r="H41" s="207"/>
      <c r="I41" s="207"/>
      <c r="N41" s="237" t="s">
        <v>155</v>
      </c>
      <c r="O41" s="279" t="s">
        <v>55</v>
      </c>
      <c r="P41" s="86">
        <f>+P34-P36</f>
        <v>48952.51</v>
      </c>
      <c r="Q41" s="116">
        <f t="shared" si="11"/>
        <v>1882.7888461538462</v>
      </c>
      <c r="R41" s="55">
        <f t="shared" si="0"/>
        <v>81.860384615384618</v>
      </c>
      <c r="S41" s="31"/>
      <c r="T41" s="55" t="s">
        <v>257</v>
      </c>
      <c r="U41" s="123">
        <v>0.37280000000000002</v>
      </c>
      <c r="V41" s="128">
        <f>+U36+U37+U38+U39+U41+U42+U43+U44+U45+U46+U47+U48+U49</f>
        <v>6.6058000000000003</v>
      </c>
      <c r="W41" s="125">
        <v>23</v>
      </c>
      <c r="X41" s="31">
        <f t="shared" si="4"/>
        <v>598</v>
      </c>
      <c r="Y41" s="128">
        <f>+X41*V41</f>
        <v>3950.2684000000004</v>
      </c>
      <c r="Z41" s="59">
        <f t="shared" si="3"/>
        <v>2065990.3732000003</v>
      </c>
      <c r="AA41" s="64">
        <f>Z41/$P$41</f>
        <v>42.203972241668509</v>
      </c>
    </row>
    <row r="42" spans="2:27" x14ac:dyDescent="0.25">
      <c r="B42" s="12"/>
      <c r="C42" s="12"/>
      <c r="D42" s="12"/>
      <c r="E42" s="12"/>
      <c r="F42" s="12"/>
      <c r="G42" s="12"/>
      <c r="H42" s="207"/>
      <c r="I42" s="207"/>
      <c r="N42" s="238"/>
      <c r="O42" s="280"/>
      <c r="P42" s="118"/>
      <c r="Q42" s="116"/>
      <c r="R42" s="55">
        <f t="shared" si="0"/>
        <v>0</v>
      </c>
      <c r="S42" s="31"/>
      <c r="T42" s="31" t="s">
        <v>220</v>
      </c>
      <c r="U42" s="120">
        <v>2.7E-2</v>
      </c>
      <c r="V42" s="122"/>
      <c r="W42" s="121">
        <v>23</v>
      </c>
      <c r="X42" s="31">
        <f t="shared" si="4"/>
        <v>598</v>
      </c>
      <c r="Y42" s="122"/>
      <c r="Z42" s="59"/>
      <c r="AA42" s="64"/>
    </row>
    <row r="43" spans="2:27" x14ac:dyDescent="0.25">
      <c r="B43" s="12"/>
      <c r="C43" s="12"/>
      <c r="D43" s="12"/>
      <c r="E43" s="12"/>
      <c r="F43" s="12"/>
      <c r="G43" s="12"/>
      <c r="H43" s="207"/>
      <c r="I43" s="207"/>
      <c r="N43" s="238"/>
      <c r="O43" s="280"/>
      <c r="P43" s="118"/>
      <c r="Q43" s="116"/>
      <c r="R43" s="55">
        <f t="shared" si="0"/>
        <v>0</v>
      </c>
      <c r="S43" s="31"/>
      <c r="T43" s="31" t="s">
        <v>221</v>
      </c>
      <c r="U43" s="120">
        <v>0.09</v>
      </c>
      <c r="V43" s="122"/>
      <c r="W43" s="121">
        <v>23</v>
      </c>
      <c r="X43" s="31">
        <f t="shared" si="4"/>
        <v>598</v>
      </c>
      <c r="Y43" s="122"/>
      <c r="Z43" s="59"/>
      <c r="AA43" s="64"/>
    </row>
    <row r="44" spans="2:27" x14ac:dyDescent="0.25">
      <c r="B44" s="12"/>
      <c r="C44" s="12"/>
      <c r="D44" s="12"/>
      <c r="E44" s="12"/>
      <c r="F44" s="12"/>
      <c r="G44" s="12"/>
      <c r="H44" s="207"/>
      <c r="I44" s="207"/>
      <c r="N44" s="238"/>
      <c r="O44" s="280"/>
      <c r="P44" s="118"/>
      <c r="Q44" s="116"/>
      <c r="R44" s="55">
        <f t="shared" si="0"/>
        <v>0</v>
      </c>
      <c r="S44" s="31"/>
      <c r="T44" s="31" t="s">
        <v>222</v>
      </c>
      <c r="U44" s="120">
        <v>6.8000000000000005E-2</v>
      </c>
      <c r="V44" s="122"/>
      <c r="W44" s="121">
        <v>23</v>
      </c>
      <c r="X44" s="31">
        <f t="shared" si="4"/>
        <v>598</v>
      </c>
      <c r="Y44" s="122"/>
      <c r="Z44" s="59"/>
      <c r="AA44" s="64"/>
    </row>
    <row r="45" spans="2:27" x14ac:dyDescent="0.25">
      <c r="B45" s="12"/>
      <c r="C45" s="12"/>
      <c r="D45" s="12"/>
      <c r="E45" s="12"/>
      <c r="F45" s="12"/>
      <c r="G45" s="12"/>
      <c r="H45" s="207"/>
      <c r="I45" s="207"/>
      <c r="N45" s="238"/>
      <c r="O45" s="280"/>
      <c r="P45" s="118"/>
      <c r="Q45" s="116"/>
      <c r="R45" s="55">
        <f t="shared" si="0"/>
        <v>0</v>
      </c>
      <c r="S45" s="31"/>
      <c r="T45" s="31" t="s">
        <v>223</v>
      </c>
      <c r="U45" s="120">
        <v>6.8000000000000005E-2</v>
      </c>
      <c r="V45" s="122"/>
      <c r="W45" s="121">
        <v>23</v>
      </c>
      <c r="X45" s="31">
        <f t="shared" si="4"/>
        <v>598</v>
      </c>
      <c r="Y45" s="122"/>
      <c r="Z45" s="59"/>
      <c r="AA45" s="64"/>
    </row>
    <row r="46" spans="2:27" x14ac:dyDescent="0.25">
      <c r="B46" s="12"/>
      <c r="C46" s="12"/>
      <c r="D46" s="12"/>
      <c r="E46" s="12"/>
      <c r="F46" s="12"/>
      <c r="G46" s="12"/>
      <c r="H46" s="207"/>
      <c r="I46" s="207"/>
      <c r="N46" s="238"/>
      <c r="O46" s="280"/>
      <c r="P46" s="118"/>
      <c r="Q46" s="116"/>
      <c r="R46" s="55">
        <f t="shared" si="0"/>
        <v>0</v>
      </c>
      <c r="S46" s="31"/>
      <c r="T46" s="31" t="s">
        <v>306</v>
      </c>
      <c r="U46" s="120">
        <v>0.75</v>
      </c>
      <c r="V46" s="122"/>
      <c r="W46" s="121">
        <v>23</v>
      </c>
      <c r="X46" s="31">
        <f t="shared" si="4"/>
        <v>598</v>
      </c>
      <c r="Y46" s="122"/>
      <c r="Z46" s="59"/>
      <c r="AA46" s="64"/>
    </row>
    <row r="47" spans="2:27" x14ac:dyDescent="0.25">
      <c r="B47" s="12"/>
      <c r="C47" s="12"/>
      <c r="D47" s="12"/>
      <c r="E47" s="12"/>
      <c r="F47" s="12"/>
      <c r="G47" s="12"/>
      <c r="H47" s="207"/>
      <c r="I47" s="207"/>
      <c r="N47" s="238"/>
      <c r="O47" s="280"/>
      <c r="P47" s="118"/>
      <c r="Q47" s="116"/>
      <c r="R47" s="55">
        <f t="shared" si="0"/>
        <v>0</v>
      </c>
      <c r="S47" s="31"/>
      <c r="T47" s="31" t="s">
        <v>307</v>
      </c>
      <c r="U47" s="120">
        <v>0.75</v>
      </c>
      <c r="V47" s="122"/>
      <c r="W47" s="121">
        <v>23</v>
      </c>
      <c r="X47" s="31">
        <f t="shared" si="4"/>
        <v>598</v>
      </c>
      <c r="Y47" s="122"/>
      <c r="Z47" s="59"/>
      <c r="AA47" s="64"/>
    </row>
    <row r="48" spans="2:27" x14ac:dyDescent="0.25">
      <c r="B48" s="12"/>
      <c r="C48" s="12"/>
      <c r="D48" s="12"/>
      <c r="E48" s="12"/>
      <c r="F48" s="12"/>
      <c r="G48" s="12"/>
      <c r="H48" s="207"/>
      <c r="I48" s="207"/>
      <c r="N48" s="238"/>
      <c r="O48" s="280"/>
      <c r="P48" s="118"/>
      <c r="Q48" s="116"/>
      <c r="R48" s="55">
        <f t="shared" si="0"/>
        <v>0</v>
      </c>
      <c r="S48" s="31"/>
      <c r="T48" s="31" t="s">
        <v>308</v>
      </c>
      <c r="U48" s="120">
        <v>0.75</v>
      </c>
      <c r="V48" s="122"/>
      <c r="W48" s="121">
        <v>23</v>
      </c>
      <c r="X48" s="31">
        <f t="shared" si="4"/>
        <v>598</v>
      </c>
      <c r="Y48" s="122"/>
      <c r="Z48" s="59"/>
      <c r="AA48" s="64"/>
    </row>
    <row r="49" spans="2:27" ht="15.75" thickBot="1" x14ac:dyDescent="0.3">
      <c r="B49" s="12"/>
      <c r="C49" s="12"/>
      <c r="D49" s="12"/>
      <c r="E49" s="12"/>
      <c r="F49" s="12"/>
      <c r="G49" s="12"/>
      <c r="H49" s="207"/>
      <c r="I49" s="207"/>
      <c r="N49" s="239"/>
      <c r="O49" s="282"/>
      <c r="P49" s="119"/>
      <c r="Q49" s="117"/>
      <c r="R49" s="83">
        <f t="shared" si="0"/>
        <v>0</v>
      </c>
      <c r="S49" s="65"/>
      <c r="T49" s="65" t="s">
        <v>309</v>
      </c>
      <c r="U49" s="124">
        <v>0.75</v>
      </c>
      <c r="V49" s="127"/>
      <c r="W49" s="126">
        <v>23</v>
      </c>
      <c r="X49" s="65">
        <f t="shared" si="4"/>
        <v>598</v>
      </c>
      <c r="Y49" s="127"/>
      <c r="Z49" s="84"/>
      <c r="AA49" s="66"/>
    </row>
    <row r="50" spans="2:27" x14ac:dyDescent="0.25">
      <c r="B50" s="12"/>
      <c r="C50" s="12"/>
      <c r="D50" s="12" t="s">
        <v>33</v>
      </c>
      <c r="E50" s="12" t="s">
        <v>34</v>
      </c>
      <c r="F50" s="12"/>
      <c r="G50" s="12">
        <v>63.994999999999997</v>
      </c>
      <c r="H50" s="207"/>
      <c r="I50" s="207"/>
      <c r="N50" s="104" t="s">
        <v>156</v>
      </c>
      <c r="O50" s="105" t="s">
        <v>60</v>
      </c>
      <c r="P50" s="77">
        <f>+P41</f>
        <v>48952.51</v>
      </c>
      <c r="Q50" s="92">
        <f t="shared" ref="Q50:Q58" si="12">+P50/$AE$7</f>
        <v>1882.7888461538462</v>
      </c>
      <c r="R50" s="80">
        <f t="shared" si="0"/>
        <v>81.860384615384618</v>
      </c>
      <c r="S50" s="93" t="s">
        <v>155</v>
      </c>
      <c r="T50" s="62"/>
      <c r="U50" s="93"/>
      <c r="V50" s="78"/>
      <c r="W50" s="93">
        <v>23</v>
      </c>
      <c r="X50" s="62">
        <f t="shared" si="4"/>
        <v>598</v>
      </c>
      <c r="Y50" s="78"/>
      <c r="Z50" s="81"/>
      <c r="AA50" s="63"/>
    </row>
    <row r="51" spans="2:27" x14ac:dyDescent="0.25">
      <c r="B51" s="14" t="s">
        <v>12</v>
      </c>
      <c r="C51" s="14">
        <f>SUM(C40:C40)</f>
        <v>0</v>
      </c>
      <c r="D51" s="14" t="s">
        <v>13</v>
      </c>
      <c r="E51" s="14">
        <v>0</v>
      </c>
      <c r="F51" s="24">
        <f>+C51-E51</f>
        <v>0</v>
      </c>
      <c r="G51" s="16">
        <f>+G50+G41+G40</f>
        <v>127.99499999999999</v>
      </c>
      <c r="H51" s="207"/>
      <c r="I51" s="207"/>
      <c r="N51" s="106" t="s">
        <v>157</v>
      </c>
      <c r="O51" s="107" t="s">
        <v>62</v>
      </c>
      <c r="P51" s="12">
        <f>+P50</f>
        <v>48952.51</v>
      </c>
      <c r="Q51" s="32">
        <f t="shared" si="12"/>
        <v>1882.7888461538462</v>
      </c>
      <c r="R51" s="55">
        <f t="shared" si="0"/>
        <v>78.449535256410257</v>
      </c>
      <c r="S51" s="31" t="s">
        <v>248</v>
      </c>
      <c r="T51" s="31" t="s">
        <v>310</v>
      </c>
      <c r="U51" s="31">
        <v>90</v>
      </c>
      <c r="V51" s="31">
        <f t="shared" si="2"/>
        <v>90</v>
      </c>
      <c r="W51" s="31">
        <v>24</v>
      </c>
      <c r="X51" s="31">
        <f t="shared" si="4"/>
        <v>624</v>
      </c>
      <c r="Y51" s="31">
        <f t="shared" si="6"/>
        <v>56160</v>
      </c>
      <c r="Z51" s="59">
        <f t="shared" si="3"/>
        <v>29371680</v>
      </c>
      <c r="AA51" s="64">
        <f>Z51/P51</f>
        <v>600.00355446533786</v>
      </c>
    </row>
    <row r="52" spans="2:27" x14ac:dyDescent="0.25">
      <c r="B52" s="20"/>
      <c r="C52" s="20"/>
      <c r="D52" s="20"/>
      <c r="E52" s="20"/>
      <c r="F52" s="20"/>
      <c r="G52" s="20"/>
      <c r="N52" s="106" t="s">
        <v>158</v>
      </c>
      <c r="O52" s="107" t="s">
        <v>64</v>
      </c>
      <c r="P52" s="12">
        <f>+P51/2</f>
        <v>24476.255000000001</v>
      </c>
      <c r="Q52" s="32">
        <f t="shared" si="12"/>
        <v>941.39442307692309</v>
      </c>
      <c r="R52" s="55">
        <f t="shared" si="0"/>
        <v>40.930192307692309</v>
      </c>
      <c r="S52" s="31" t="s">
        <v>249</v>
      </c>
      <c r="T52" s="56"/>
      <c r="U52" s="31"/>
      <c r="V52" s="31"/>
      <c r="W52" s="31">
        <v>23</v>
      </c>
      <c r="X52" s="31"/>
      <c r="Y52" s="31"/>
      <c r="Z52" s="59"/>
      <c r="AA52" s="64"/>
    </row>
    <row r="53" spans="2:27" x14ac:dyDescent="0.25">
      <c r="B53" s="255" t="s">
        <v>35</v>
      </c>
      <c r="C53" s="255"/>
      <c r="D53" s="255"/>
      <c r="E53" s="255"/>
      <c r="F53" s="260" t="s">
        <v>81</v>
      </c>
      <c r="G53" s="261"/>
      <c r="H53" s="207"/>
      <c r="I53" s="207"/>
      <c r="J53" s="207"/>
      <c r="N53" s="106" t="s">
        <v>159</v>
      </c>
      <c r="O53" s="107" t="s">
        <v>65</v>
      </c>
      <c r="P53" s="12">
        <f>+P52</f>
        <v>24476.255000000001</v>
      </c>
      <c r="Q53" s="32">
        <f t="shared" si="12"/>
        <v>941.39442307692309</v>
      </c>
      <c r="R53" s="55">
        <f t="shared" si="0"/>
        <v>40.930192307692309</v>
      </c>
      <c r="S53" s="31" t="s">
        <v>249</v>
      </c>
      <c r="T53" s="56"/>
      <c r="U53" s="31"/>
      <c r="V53" s="31"/>
      <c r="W53" s="31">
        <v>23</v>
      </c>
      <c r="X53" s="31"/>
      <c r="Y53" s="31"/>
      <c r="Z53" s="59"/>
      <c r="AA53" s="64"/>
    </row>
    <row r="54" spans="2:27" x14ac:dyDescent="0.25">
      <c r="B54" s="256" t="s">
        <v>0</v>
      </c>
      <c r="C54" s="256"/>
      <c r="D54" s="256" t="s">
        <v>7</v>
      </c>
      <c r="E54" s="256"/>
      <c r="F54" s="18" t="s">
        <v>68</v>
      </c>
      <c r="G54" s="18" t="s">
        <v>69</v>
      </c>
      <c r="H54" s="207"/>
      <c r="I54" s="207"/>
      <c r="J54" s="207"/>
      <c r="N54" s="106" t="s">
        <v>160</v>
      </c>
      <c r="O54" s="107" t="s">
        <v>50</v>
      </c>
      <c r="P54" s="12">
        <v>50</v>
      </c>
      <c r="Q54" s="32">
        <f t="shared" si="12"/>
        <v>1.9230769230769231</v>
      </c>
      <c r="R54" s="55">
        <f t="shared" si="0"/>
        <v>50</v>
      </c>
      <c r="S54" s="31" t="s">
        <v>250</v>
      </c>
      <c r="T54" s="56"/>
      <c r="U54" s="31">
        <v>14.9</v>
      </c>
      <c r="V54" s="31">
        <f>+U54</f>
        <v>14.9</v>
      </c>
      <c r="W54" s="55">
        <f>1/26</f>
        <v>3.8461538461538464E-2</v>
      </c>
      <c r="X54" s="31">
        <f t="shared" si="4"/>
        <v>1</v>
      </c>
      <c r="Y54" s="31">
        <f t="shared" si="6"/>
        <v>14.9</v>
      </c>
      <c r="Z54" s="59"/>
      <c r="AA54" s="64"/>
    </row>
    <row r="55" spans="2:27" x14ac:dyDescent="0.25">
      <c r="B55" s="14" t="s">
        <v>1</v>
      </c>
      <c r="C55" s="14" t="s">
        <v>6</v>
      </c>
      <c r="D55" s="14" t="s">
        <v>1</v>
      </c>
      <c r="E55" s="14" t="s">
        <v>6</v>
      </c>
      <c r="F55" s="12"/>
      <c r="G55" s="12"/>
      <c r="H55" s="207"/>
      <c r="I55" s="207"/>
      <c r="J55" s="207"/>
      <c r="N55" s="106" t="s">
        <v>161</v>
      </c>
      <c r="O55" s="107" t="s">
        <v>51</v>
      </c>
      <c r="P55" s="12">
        <v>50</v>
      </c>
      <c r="Q55" s="32">
        <f t="shared" si="12"/>
        <v>1.9230769230769231</v>
      </c>
      <c r="R55" s="55">
        <f t="shared" si="0"/>
        <v>50</v>
      </c>
      <c r="S55" s="31" t="s">
        <v>250</v>
      </c>
      <c r="T55" s="56"/>
      <c r="U55" s="31">
        <v>14.9</v>
      </c>
      <c r="V55" s="31">
        <f>+U55</f>
        <v>14.9</v>
      </c>
      <c r="W55" s="55">
        <f>1/26</f>
        <v>3.8461538461538464E-2</v>
      </c>
      <c r="X55" s="31">
        <f t="shared" si="4"/>
        <v>1</v>
      </c>
      <c r="Y55" s="31">
        <f t="shared" si="6"/>
        <v>14.9</v>
      </c>
      <c r="Z55" s="59"/>
      <c r="AA55" s="64"/>
    </row>
    <row r="56" spans="2:27" x14ac:dyDescent="0.25">
      <c r="B56" s="12" t="s">
        <v>32</v>
      </c>
      <c r="C56" s="12" t="s">
        <v>34</v>
      </c>
      <c r="D56" s="12" t="s">
        <v>36</v>
      </c>
      <c r="E56" s="12">
        <v>8.9999999999999993E-3</v>
      </c>
      <c r="F56" s="12">
        <f>+G41</f>
        <v>63.994999999999997</v>
      </c>
      <c r="G56" s="12">
        <v>8.9999999999999993E-3</v>
      </c>
      <c r="H56" s="207"/>
      <c r="I56" s="207"/>
      <c r="J56" s="207"/>
      <c r="N56" s="106" t="s">
        <v>162</v>
      </c>
      <c r="O56" s="107" t="s">
        <v>58</v>
      </c>
      <c r="P56" s="12">
        <f>+P52</f>
        <v>24476.255000000001</v>
      </c>
      <c r="Q56" s="32">
        <f t="shared" si="12"/>
        <v>941.39442307692309</v>
      </c>
      <c r="R56" s="55">
        <f t="shared" si="0"/>
        <v>470.69721153846154</v>
      </c>
      <c r="S56" s="31" t="s">
        <v>251</v>
      </c>
      <c r="T56" s="31" t="s">
        <v>305</v>
      </c>
      <c r="U56" s="31">
        <v>14.9</v>
      </c>
      <c r="V56" s="31">
        <f t="shared" si="2"/>
        <v>14.9</v>
      </c>
      <c r="W56" s="31">
        <v>2</v>
      </c>
      <c r="X56" s="31">
        <f t="shared" si="4"/>
        <v>52</v>
      </c>
      <c r="Y56" s="31">
        <f t="shared" si="6"/>
        <v>774.80000000000007</v>
      </c>
      <c r="Z56" s="59">
        <f t="shared" si="3"/>
        <v>405220.4</v>
      </c>
      <c r="AA56" s="64">
        <f t="shared" si="9"/>
        <v>16.555653632469511</v>
      </c>
    </row>
    <row r="57" spans="2:27" x14ac:dyDescent="0.25">
      <c r="B57" s="12"/>
      <c r="C57" s="12"/>
      <c r="D57" s="12" t="s">
        <v>37</v>
      </c>
      <c r="E57" s="12">
        <v>0</v>
      </c>
      <c r="F57" s="12"/>
      <c r="G57" s="12">
        <v>0</v>
      </c>
      <c r="H57" s="207"/>
      <c r="I57" s="207"/>
      <c r="J57" s="207"/>
      <c r="N57" s="106" t="s">
        <v>163</v>
      </c>
      <c r="O57" s="107" t="s">
        <v>59</v>
      </c>
      <c r="P57" s="12">
        <f>+P53</f>
        <v>24476.255000000001</v>
      </c>
      <c r="Q57" s="32">
        <f t="shared" si="12"/>
        <v>941.39442307692309</v>
      </c>
      <c r="R57" s="55">
        <f t="shared" si="0"/>
        <v>470.69721153846154</v>
      </c>
      <c r="S57" s="31" t="s">
        <v>251</v>
      </c>
      <c r="T57" s="31" t="s">
        <v>305</v>
      </c>
      <c r="U57" s="31">
        <f>+U56</f>
        <v>14.9</v>
      </c>
      <c r="V57" s="88">
        <f>+V56</f>
        <v>14.9</v>
      </c>
      <c r="W57" s="31">
        <v>2</v>
      </c>
      <c r="X57" s="31">
        <f t="shared" si="4"/>
        <v>52</v>
      </c>
      <c r="Y57" s="88">
        <f t="shared" si="6"/>
        <v>774.80000000000007</v>
      </c>
      <c r="Z57" s="59"/>
      <c r="AA57" s="64"/>
    </row>
    <row r="58" spans="2:27" x14ac:dyDescent="0.25">
      <c r="B58" s="12"/>
      <c r="C58" s="12"/>
      <c r="D58" s="12" t="s">
        <v>71</v>
      </c>
      <c r="E58" s="12" t="s">
        <v>34</v>
      </c>
      <c r="F58" s="12"/>
      <c r="G58" s="12">
        <f>F56-G56-G57</f>
        <v>63.985999999999997</v>
      </c>
      <c r="H58" s="207"/>
      <c r="I58" s="207"/>
      <c r="J58" s="207"/>
      <c r="N58" s="275" t="s">
        <v>164</v>
      </c>
      <c r="O58" s="277" t="s">
        <v>66</v>
      </c>
      <c r="P58" s="12">
        <f>+P52</f>
        <v>24476.255000000001</v>
      </c>
      <c r="Q58" s="32">
        <f t="shared" si="12"/>
        <v>941.39442307692309</v>
      </c>
      <c r="R58" s="55">
        <f t="shared" si="0"/>
        <v>40.930192307692309</v>
      </c>
      <c r="S58" s="31" t="s">
        <v>252</v>
      </c>
      <c r="T58" s="31" t="s">
        <v>226</v>
      </c>
      <c r="U58" s="120">
        <v>11</v>
      </c>
      <c r="V58" s="88">
        <f>+U58+U59</f>
        <v>56</v>
      </c>
      <c r="W58" s="121">
        <v>23</v>
      </c>
      <c r="X58" s="31">
        <f t="shared" si="4"/>
        <v>598</v>
      </c>
      <c r="Y58" s="88">
        <f t="shared" si="6"/>
        <v>33488</v>
      </c>
      <c r="Z58" s="271">
        <f t="shared" si="3"/>
        <v>17514224</v>
      </c>
      <c r="AA58" s="271">
        <f t="shared" si="9"/>
        <v>715.55979458458819</v>
      </c>
    </row>
    <row r="59" spans="2:27" x14ac:dyDescent="0.25">
      <c r="B59" s="12"/>
      <c r="C59" s="12"/>
      <c r="D59" s="12"/>
      <c r="E59" s="12"/>
      <c r="F59" s="12"/>
      <c r="G59" s="12"/>
      <c r="H59" s="207"/>
      <c r="I59" s="207"/>
      <c r="J59" s="207"/>
      <c r="N59" s="276"/>
      <c r="O59" s="278"/>
      <c r="P59" s="12"/>
      <c r="Q59" s="12"/>
      <c r="R59" s="55">
        <f t="shared" si="0"/>
        <v>0</v>
      </c>
      <c r="S59" s="31"/>
      <c r="T59" s="56" t="s">
        <v>295</v>
      </c>
      <c r="U59" s="120">
        <v>45</v>
      </c>
      <c r="V59" s="78"/>
      <c r="W59" s="121">
        <v>24</v>
      </c>
      <c r="X59" s="31">
        <f t="shared" si="4"/>
        <v>624</v>
      </c>
      <c r="Y59" s="78"/>
      <c r="Z59" s="272"/>
      <c r="AA59" s="272"/>
    </row>
    <row r="60" spans="2:27" x14ac:dyDescent="0.25">
      <c r="B60" s="14" t="s">
        <v>12</v>
      </c>
      <c r="C60" s="14">
        <f>SUM(C56:C56)</f>
        <v>0</v>
      </c>
      <c r="D60" s="14" t="s">
        <v>13</v>
      </c>
      <c r="E60" s="14">
        <v>0</v>
      </c>
      <c r="F60" s="16">
        <f>SUM(F56:F58)</f>
        <v>63.994999999999997</v>
      </c>
      <c r="G60" s="16">
        <f>SUM(G56:G58)</f>
        <v>63.994999999999997</v>
      </c>
      <c r="H60" s="207"/>
      <c r="I60" s="207"/>
      <c r="J60" s="207"/>
      <c r="N60" s="275" t="s">
        <v>165</v>
      </c>
      <c r="O60" s="277" t="s">
        <v>67</v>
      </c>
      <c r="P60" s="12">
        <f>+P53</f>
        <v>24476.255000000001</v>
      </c>
      <c r="Q60" s="32">
        <f t="shared" ref="Q60" si="13">+P60/$AE$7</f>
        <v>941.39442307692309</v>
      </c>
      <c r="R60" s="55">
        <f t="shared" si="0"/>
        <v>40.930192307692309</v>
      </c>
      <c r="S60" s="31" t="s">
        <v>252</v>
      </c>
      <c r="T60" s="31" t="s">
        <v>226</v>
      </c>
      <c r="U60" s="31">
        <v>11</v>
      </c>
      <c r="V60" s="88">
        <f>+U60+U61</f>
        <v>56</v>
      </c>
      <c r="W60" s="31">
        <v>23</v>
      </c>
      <c r="X60" s="31">
        <f t="shared" si="4"/>
        <v>598</v>
      </c>
      <c r="Y60" s="88">
        <f t="shared" si="6"/>
        <v>33488</v>
      </c>
      <c r="Z60" s="271">
        <f t="shared" si="3"/>
        <v>17514224</v>
      </c>
      <c r="AA60" s="271">
        <f t="shared" si="9"/>
        <v>715.55979458458819</v>
      </c>
    </row>
    <row r="61" spans="2:27" x14ac:dyDescent="0.25">
      <c r="B61" s="20"/>
      <c r="C61" s="20"/>
      <c r="D61" s="20"/>
      <c r="E61" s="20"/>
      <c r="F61" s="53"/>
      <c r="G61" s="53"/>
      <c r="H61" s="22"/>
      <c r="I61" s="22"/>
      <c r="J61" s="22"/>
      <c r="N61" s="276"/>
      <c r="O61" s="278"/>
      <c r="P61" s="12"/>
      <c r="Q61" s="12"/>
      <c r="R61" s="55">
        <f t="shared" si="0"/>
        <v>0</v>
      </c>
      <c r="S61" s="31"/>
      <c r="T61" s="56" t="s">
        <v>295</v>
      </c>
      <c r="U61" s="31">
        <v>45</v>
      </c>
      <c r="V61" s="78"/>
      <c r="W61" s="31">
        <v>24</v>
      </c>
      <c r="X61" s="31">
        <f t="shared" si="4"/>
        <v>624</v>
      </c>
      <c r="Y61" s="78"/>
      <c r="Z61" s="272">
        <f t="shared" si="3"/>
        <v>0</v>
      </c>
      <c r="AA61" s="272"/>
    </row>
    <row r="62" spans="2:27" x14ac:dyDescent="0.25">
      <c r="B62" s="20"/>
      <c r="C62" s="20"/>
      <c r="D62" s="20"/>
      <c r="E62" s="20"/>
      <c r="F62" s="20"/>
      <c r="G62" s="20"/>
      <c r="N62" s="106" t="s">
        <v>166</v>
      </c>
      <c r="O62" s="107" t="s">
        <v>48</v>
      </c>
      <c r="P62" s="12"/>
      <c r="Q62" s="12"/>
      <c r="R62" s="55">
        <f t="shared" si="0"/>
        <v>0</v>
      </c>
      <c r="S62" s="31" t="s">
        <v>253</v>
      </c>
      <c r="T62" s="56"/>
      <c r="U62" s="31"/>
      <c r="V62" s="31"/>
      <c r="W62" s="31">
        <v>23</v>
      </c>
      <c r="X62" s="31">
        <f t="shared" si="4"/>
        <v>598</v>
      </c>
      <c r="Y62" s="31"/>
      <c r="Z62" s="59"/>
      <c r="AA62" s="64"/>
    </row>
    <row r="63" spans="2:27" ht="15.75" thickBot="1" x14ac:dyDescent="0.3">
      <c r="B63" s="255" t="s">
        <v>39</v>
      </c>
      <c r="C63" s="255"/>
      <c r="D63" s="255"/>
      <c r="E63" s="255"/>
      <c r="F63" s="260" t="s">
        <v>81</v>
      </c>
      <c r="G63" s="261"/>
      <c r="H63" s="207"/>
      <c r="I63" s="207"/>
      <c r="J63" s="207"/>
      <c r="N63" s="108" t="s">
        <v>167</v>
      </c>
      <c r="O63" s="109" t="s">
        <v>85</v>
      </c>
      <c r="P63" s="82">
        <f>+P60+P58</f>
        <v>48952.51</v>
      </c>
      <c r="Q63" s="85">
        <f t="shared" ref="Q63:Q70" si="14">+P63/$AE$7</f>
        <v>1882.7888461538462</v>
      </c>
      <c r="R63" s="83">
        <f t="shared" si="0"/>
        <v>81.860384615384618</v>
      </c>
      <c r="S63" s="65" t="s">
        <v>252</v>
      </c>
      <c r="T63" s="67" t="s">
        <v>304</v>
      </c>
      <c r="U63" s="65">
        <v>30</v>
      </c>
      <c r="V63" s="65">
        <f t="shared" si="2"/>
        <v>30</v>
      </c>
      <c r="W63" s="65">
        <v>23</v>
      </c>
      <c r="X63" s="65">
        <f t="shared" si="4"/>
        <v>598</v>
      </c>
      <c r="Y63" s="65">
        <f t="shared" si="6"/>
        <v>17940</v>
      </c>
      <c r="Z63" s="84">
        <f t="shared" si="3"/>
        <v>9382620</v>
      </c>
      <c r="AA63" s="66">
        <f>Z63/P63</f>
        <v>191.66780212087184</v>
      </c>
    </row>
    <row r="64" spans="2:27" x14ac:dyDescent="0.25">
      <c r="B64" s="256" t="s">
        <v>0</v>
      </c>
      <c r="C64" s="256"/>
      <c r="D64" s="256" t="s">
        <v>7</v>
      </c>
      <c r="E64" s="256"/>
      <c r="F64" s="18" t="s">
        <v>68</v>
      </c>
      <c r="G64" s="18" t="s">
        <v>69</v>
      </c>
      <c r="H64" s="207"/>
      <c r="I64" s="207"/>
      <c r="J64" s="207"/>
      <c r="N64" s="110" t="s">
        <v>168</v>
      </c>
      <c r="O64" s="111" t="s">
        <v>92</v>
      </c>
      <c r="P64" s="79">
        <v>21394</v>
      </c>
      <c r="Q64" s="92">
        <f t="shared" si="14"/>
        <v>822.84615384615381</v>
      </c>
      <c r="R64" s="80">
        <f t="shared" si="0"/>
        <v>74.8041958041958</v>
      </c>
      <c r="S64" s="62" t="s">
        <v>233</v>
      </c>
      <c r="T64" s="61"/>
      <c r="U64" s="62"/>
      <c r="V64" s="62"/>
      <c r="W64" s="62">
        <v>11</v>
      </c>
      <c r="X64" s="62">
        <f t="shared" si="4"/>
        <v>286</v>
      </c>
      <c r="Y64" s="62"/>
      <c r="Z64" s="81"/>
      <c r="AA64" s="63"/>
    </row>
    <row r="65" spans="2:27" x14ac:dyDescent="0.25">
      <c r="B65" s="14" t="s">
        <v>1</v>
      </c>
      <c r="C65" s="14" t="s">
        <v>6</v>
      </c>
      <c r="D65" s="14" t="s">
        <v>1</v>
      </c>
      <c r="E65" s="14" t="s">
        <v>6</v>
      </c>
      <c r="F65" s="14"/>
      <c r="G65" s="14"/>
      <c r="H65" s="207"/>
      <c r="I65" s="207"/>
      <c r="J65" s="207"/>
      <c r="N65" s="112" t="s">
        <v>169</v>
      </c>
      <c r="O65" s="113" t="s">
        <v>94</v>
      </c>
      <c r="P65" s="12">
        <f>+P64-P66</f>
        <v>10697</v>
      </c>
      <c r="Q65" s="32">
        <f t="shared" si="14"/>
        <v>411.42307692307691</v>
      </c>
      <c r="R65" s="55">
        <f t="shared" si="0"/>
        <v>37.4020979020979</v>
      </c>
      <c r="S65" s="31" t="s">
        <v>254</v>
      </c>
      <c r="T65" s="56"/>
      <c r="U65" s="31"/>
      <c r="V65" s="31"/>
      <c r="W65" s="31">
        <v>11</v>
      </c>
      <c r="X65" s="31">
        <f t="shared" si="4"/>
        <v>286</v>
      </c>
      <c r="Y65" s="31"/>
      <c r="Z65" s="59"/>
      <c r="AA65" s="64"/>
    </row>
    <row r="66" spans="2:27" x14ac:dyDescent="0.25">
      <c r="B66" s="12" t="s">
        <v>33</v>
      </c>
      <c r="C66" s="12" t="s">
        <v>34</v>
      </c>
      <c r="D66" s="12" t="s">
        <v>40</v>
      </c>
      <c r="E66" s="12">
        <v>8.9999999999999993E-3</v>
      </c>
      <c r="F66" s="12">
        <f>G50</f>
        <v>63.994999999999997</v>
      </c>
      <c r="G66" s="12">
        <v>8.9999999999999993E-3</v>
      </c>
      <c r="H66" s="207"/>
      <c r="I66" s="207"/>
      <c r="J66" s="207"/>
      <c r="N66" s="112" t="s">
        <v>171</v>
      </c>
      <c r="O66" s="113" t="s">
        <v>93</v>
      </c>
      <c r="P66" s="12">
        <f>+P64*0.5</f>
        <v>10697</v>
      </c>
      <c r="Q66" s="32">
        <f t="shared" si="14"/>
        <v>411.42307692307691</v>
      </c>
      <c r="R66" s="55">
        <f t="shared" si="0"/>
        <v>37.4020979020979</v>
      </c>
      <c r="S66" s="31" t="s">
        <v>254</v>
      </c>
      <c r="T66" s="31" t="s">
        <v>302</v>
      </c>
      <c r="U66" s="31">
        <v>45</v>
      </c>
      <c r="V66" s="31">
        <f t="shared" si="2"/>
        <v>45</v>
      </c>
      <c r="W66" s="31">
        <v>11</v>
      </c>
      <c r="X66" s="31">
        <f t="shared" si="4"/>
        <v>286</v>
      </c>
      <c r="Y66" s="31">
        <f t="shared" si="6"/>
        <v>12870</v>
      </c>
      <c r="Z66" s="59">
        <f t="shared" si="3"/>
        <v>6731010</v>
      </c>
      <c r="AA66" s="64">
        <f t="shared" si="9"/>
        <v>629.24277834906979</v>
      </c>
    </row>
    <row r="67" spans="2:27" x14ac:dyDescent="0.25">
      <c r="B67" s="12"/>
      <c r="C67" s="12"/>
      <c r="D67" s="12" t="s">
        <v>41</v>
      </c>
      <c r="E67" s="12">
        <v>1</v>
      </c>
      <c r="F67" s="12"/>
      <c r="G67" s="12">
        <v>0</v>
      </c>
      <c r="H67" s="207"/>
      <c r="I67" s="207"/>
      <c r="J67" s="207"/>
      <c r="N67" s="112" t="s">
        <v>170</v>
      </c>
      <c r="O67" s="113" t="s">
        <v>96</v>
      </c>
      <c r="P67" s="12">
        <f>+P66-P68</f>
        <v>5348.5</v>
      </c>
      <c r="Q67" s="32">
        <f t="shared" si="14"/>
        <v>205.71153846153845</v>
      </c>
      <c r="R67" s="55">
        <f t="shared" si="0"/>
        <v>18.70104895104895</v>
      </c>
      <c r="S67" s="31" t="s">
        <v>255</v>
      </c>
      <c r="T67" s="31" t="s">
        <v>299</v>
      </c>
      <c r="U67" s="31">
        <v>1.5</v>
      </c>
      <c r="V67" s="31">
        <f t="shared" si="2"/>
        <v>1.5</v>
      </c>
      <c r="W67" s="31">
        <v>11</v>
      </c>
      <c r="X67" s="31">
        <f t="shared" si="4"/>
        <v>286</v>
      </c>
      <c r="Y67" s="31">
        <f t="shared" si="6"/>
        <v>429</v>
      </c>
      <c r="Z67" s="59">
        <f t="shared" si="3"/>
        <v>224367</v>
      </c>
      <c r="AA67" s="64">
        <f t="shared" si="9"/>
        <v>41.949518556604659</v>
      </c>
    </row>
    <row r="68" spans="2:27" ht="15.75" thickBot="1" x14ac:dyDescent="0.3">
      <c r="B68" s="12"/>
      <c r="C68" s="12"/>
      <c r="D68" s="12" t="s">
        <v>72</v>
      </c>
      <c r="E68" s="12" t="s">
        <v>34</v>
      </c>
      <c r="F68" s="12"/>
      <c r="G68" s="12">
        <f>+F66-G66-G67</f>
        <v>63.985999999999997</v>
      </c>
      <c r="H68" s="207"/>
      <c r="I68" s="207"/>
      <c r="J68" s="207"/>
      <c r="N68" s="114" t="s">
        <v>172</v>
      </c>
      <c r="O68" s="115" t="s">
        <v>95</v>
      </c>
      <c r="P68" s="82">
        <f>+P66*0.5</f>
        <v>5348.5</v>
      </c>
      <c r="Q68" s="85">
        <f t="shared" si="14"/>
        <v>205.71153846153845</v>
      </c>
      <c r="R68" s="83">
        <f t="shared" si="0"/>
        <v>18.70104895104895</v>
      </c>
      <c r="S68" s="65" t="s">
        <v>255</v>
      </c>
      <c r="T68" s="65" t="s">
        <v>300</v>
      </c>
      <c r="U68" s="65">
        <v>15</v>
      </c>
      <c r="V68" s="65">
        <f t="shared" si="2"/>
        <v>15</v>
      </c>
      <c r="W68" s="65">
        <v>11</v>
      </c>
      <c r="X68" s="65">
        <f t="shared" si="4"/>
        <v>286</v>
      </c>
      <c r="Y68" s="65">
        <f t="shared" si="6"/>
        <v>4290</v>
      </c>
      <c r="Z68" s="84">
        <f t="shared" si="3"/>
        <v>2243670</v>
      </c>
      <c r="AA68" s="66">
        <f t="shared" si="9"/>
        <v>419.49518556604653</v>
      </c>
    </row>
    <row r="69" spans="2:27" x14ac:dyDescent="0.25">
      <c r="B69" s="14" t="s">
        <v>12</v>
      </c>
      <c r="C69" s="14">
        <f>SUM(C66:C66)</f>
        <v>0</v>
      </c>
      <c r="D69" s="14" t="s">
        <v>13</v>
      </c>
      <c r="E69" s="14">
        <v>0</v>
      </c>
      <c r="F69" s="16">
        <f>+F66</f>
        <v>63.994999999999997</v>
      </c>
      <c r="G69" s="16">
        <f>+G68+G66</f>
        <v>63.994999999999997</v>
      </c>
      <c r="H69" s="207"/>
      <c r="I69" s="207"/>
      <c r="J69" s="207"/>
      <c r="N69" s="110" t="s">
        <v>228</v>
      </c>
      <c r="O69" s="111"/>
      <c r="P69" s="79">
        <f>+P68*0.8</f>
        <v>4278.8</v>
      </c>
      <c r="Q69" s="92">
        <f t="shared" si="14"/>
        <v>164.56923076923078</v>
      </c>
      <c r="R69" s="80">
        <f t="shared" si="0"/>
        <v>20.571153846153848</v>
      </c>
      <c r="S69" s="62" t="s">
        <v>256</v>
      </c>
      <c r="T69" s="62" t="s">
        <v>300</v>
      </c>
      <c r="U69" s="62">
        <v>5.5</v>
      </c>
      <c r="V69" s="62">
        <f t="shared" si="2"/>
        <v>5.5</v>
      </c>
      <c r="W69" s="62">
        <v>8</v>
      </c>
      <c r="X69" s="62">
        <f t="shared" si="4"/>
        <v>208</v>
      </c>
      <c r="Y69" s="62">
        <f t="shared" si="6"/>
        <v>1144</v>
      </c>
      <c r="Z69" s="81">
        <f t="shared" si="3"/>
        <v>598312</v>
      </c>
      <c r="AA69" s="63">
        <f t="shared" si="9"/>
        <v>139.83172852201551</v>
      </c>
    </row>
    <row r="70" spans="2:27" x14ac:dyDescent="0.25">
      <c r="B70" s="20"/>
      <c r="C70" s="20"/>
      <c r="D70" s="20"/>
      <c r="E70" s="20"/>
      <c r="F70" s="53"/>
      <c r="G70" s="53"/>
      <c r="H70" s="22"/>
      <c r="I70" s="22"/>
      <c r="J70" s="22"/>
      <c r="N70" s="273" t="s">
        <v>334</v>
      </c>
      <c r="O70" s="269"/>
      <c r="P70" s="12">
        <f>+P67</f>
        <v>5348.5</v>
      </c>
      <c r="Q70" s="32">
        <f t="shared" si="14"/>
        <v>205.71153846153845</v>
      </c>
      <c r="R70" s="55">
        <f t="shared" si="0"/>
        <v>25.713942307692307</v>
      </c>
      <c r="S70" s="31" t="s">
        <v>333</v>
      </c>
      <c r="T70" s="31" t="s">
        <v>301</v>
      </c>
      <c r="U70" s="31">
        <v>110</v>
      </c>
      <c r="V70" s="88">
        <f>+U70+U71</f>
        <v>121</v>
      </c>
      <c r="W70" s="31">
        <v>8</v>
      </c>
      <c r="X70" s="31">
        <f t="shared" si="4"/>
        <v>208</v>
      </c>
      <c r="Y70" s="88">
        <f t="shared" si="6"/>
        <v>25168</v>
      </c>
      <c r="Z70" s="271">
        <f t="shared" si="3"/>
        <v>13162864</v>
      </c>
      <c r="AA70" s="271">
        <f>Z70/P69</f>
        <v>3076.2980274843412</v>
      </c>
    </row>
    <row r="71" spans="2:27" x14ac:dyDescent="0.25">
      <c r="B71" s="20"/>
      <c r="C71" s="20"/>
      <c r="D71" s="20"/>
      <c r="E71" s="20"/>
      <c r="F71" s="53"/>
      <c r="G71" s="53"/>
      <c r="H71" s="22"/>
      <c r="I71" s="22"/>
      <c r="J71" s="22"/>
      <c r="N71" s="274"/>
      <c r="O71" s="270"/>
      <c r="P71" s="12"/>
      <c r="Q71" s="12"/>
      <c r="R71" s="55">
        <f t="shared" ref="R71:R72" si="15">Q71/W71</f>
        <v>0</v>
      </c>
      <c r="S71" s="31"/>
      <c r="T71" s="31" t="s">
        <v>302</v>
      </c>
      <c r="U71" s="31">
        <v>11</v>
      </c>
      <c r="V71" s="78"/>
      <c r="W71" s="31">
        <v>8</v>
      </c>
      <c r="X71" s="31">
        <f t="shared" si="4"/>
        <v>208</v>
      </c>
      <c r="Y71" s="78"/>
      <c r="Z71" s="272"/>
      <c r="AA71" s="272">
        <f>Z71/P69</f>
        <v>0</v>
      </c>
    </row>
    <row r="72" spans="2:27" ht="15.75" thickBot="1" x14ac:dyDescent="0.3">
      <c r="B72" s="20"/>
      <c r="C72" s="20"/>
      <c r="D72" s="20"/>
      <c r="E72" s="20"/>
      <c r="F72" s="20"/>
      <c r="G72" s="20"/>
      <c r="N72" s="114" t="s">
        <v>229</v>
      </c>
      <c r="O72" s="115"/>
      <c r="P72" s="82">
        <f>+P68-P69</f>
        <v>1069.6999999999998</v>
      </c>
      <c r="Q72" s="85">
        <f t="shared" ref="Q72" si="16">+P72/$AE$7</f>
        <v>41.142307692307682</v>
      </c>
      <c r="R72" s="83">
        <f t="shared" si="15"/>
        <v>5.1427884615384603</v>
      </c>
      <c r="S72" s="65" t="s">
        <v>256</v>
      </c>
      <c r="T72" s="65" t="s">
        <v>303</v>
      </c>
      <c r="U72" s="65">
        <v>2.2000000000000002</v>
      </c>
      <c r="V72" s="65">
        <f t="shared" ref="V72" si="17">U72</f>
        <v>2.2000000000000002</v>
      </c>
      <c r="W72" s="65">
        <v>8</v>
      </c>
      <c r="X72" s="65">
        <f t="shared" si="4"/>
        <v>208</v>
      </c>
      <c r="Y72" s="65">
        <f t="shared" si="6"/>
        <v>457.6</v>
      </c>
      <c r="Z72" s="84">
        <f t="shared" si="3"/>
        <v>239324.80000000002</v>
      </c>
      <c r="AA72" s="66">
        <f t="shared" ref="AA72" si="18">Z72/P72</f>
        <v>223.73076563522488</v>
      </c>
    </row>
    <row r="73" spans="2:27" x14ac:dyDescent="0.25">
      <c r="B73" s="260" t="s">
        <v>43</v>
      </c>
      <c r="C73" s="268"/>
      <c r="D73" s="268"/>
      <c r="E73" s="261"/>
      <c r="F73" s="260" t="s">
        <v>81</v>
      </c>
      <c r="G73" s="261"/>
      <c r="H73" s="207"/>
      <c r="I73" s="207"/>
      <c r="J73" s="207"/>
      <c r="Z73" s="75">
        <f>SUM(Z6:Z72)</f>
        <v>147191053.3132</v>
      </c>
      <c r="AA73" s="75">
        <f>SUM(AA6:AA72)</f>
        <v>7846.1067854478206</v>
      </c>
    </row>
    <row r="74" spans="2:27" s="11" customFormat="1" ht="15.75" customHeight="1" x14ac:dyDescent="0.25">
      <c r="B74" s="256" t="s">
        <v>0</v>
      </c>
      <c r="C74" s="256"/>
      <c r="D74" s="256" t="s">
        <v>7</v>
      </c>
      <c r="E74" s="256"/>
      <c r="F74" s="18" t="s">
        <v>68</v>
      </c>
      <c r="G74" s="18" t="s">
        <v>69</v>
      </c>
      <c r="H74" s="207"/>
      <c r="I74" s="207"/>
      <c r="J74" s="207"/>
      <c r="K74" s="2"/>
      <c r="L74" s="2"/>
      <c r="T74" s="2"/>
      <c r="Z74" s="75">
        <f>+Z73*0.6</f>
        <v>88314631.987920001</v>
      </c>
      <c r="AA74" s="75">
        <f>+AA73*0.6</f>
        <v>4707.6640712686922</v>
      </c>
    </row>
    <row r="75" spans="2:27" x14ac:dyDescent="0.25">
      <c r="B75" s="14" t="s">
        <v>1</v>
      </c>
      <c r="C75" s="14" t="s">
        <v>6</v>
      </c>
      <c r="D75" s="14" t="s">
        <v>1</v>
      </c>
      <c r="E75" s="14" t="s">
        <v>6</v>
      </c>
      <c r="F75" s="14"/>
      <c r="G75" s="14"/>
      <c r="H75" s="207"/>
      <c r="I75" s="207"/>
      <c r="J75" s="207"/>
      <c r="Z75" s="75"/>
    </row>
    <row r="76" spans="2:27" x14ac:dyDescent="0.25">
      <c r="B76" s="12" t="s">
        <v>38</v>
      </c>
      <c r="C76" s="12" t="s">
        <v>34</v>
      </c>
      <c r="D76" s="12" t="s">
        <v>20</v>
      </c>
      <c r="E76" s="12" t="s">
        <v>116</v>
      </c>
      <c r="F76" s="12">
        <f>+G68</f>
        <v>63.985999999999997</v>
      </c>
      <c r="G76" s="12">
        <f>+F78</f>
        <v>127.97199999999999</v>
      </c>
      <c r="H76" s="207"/>
      <c r="I76" s="207"/>
      <c r="J76" s="207"/>
    </row>
    <row r="77" spans="2:27" x14ac:dyDescent="0.25">
      <c r="B77" s="12" t="s">
        <v>42</v>
      </c>
      <c r="C77" s="12" t="s">
        <v>34</v>
      </c>
      <c r="D77" s="12" t="s">
        <v>73</v>
      </c>
      <c r="E77" s="12"/>
      <c r="F77" s="21">
        <f>+G58</f>
        <v>63.985999999999997</v>
      </c>
      <c r="G77" s="21">
        <v>0</v>
      </c>
      <c r="H77" s="207"/>
      <c r="I77" s="207"/>
      <c r="J77" s="207"/>
    </row>
    <row r="78" spans="2:27" x14ac:dyDescent="0.25">
      <c r="B78" s="14" t="s">
        <v>12</v>
      </c>
      <c r="C78" s="14">
        <f>SUM(C77:C77)</f>
        <v>0</v>
      </c>
      <c r="D78" s="14" t="s">
        <v>13</v>
      </c>
      <c r="E78" s="14">
        <v>0</v>
      </c>
      <c r="F78" s="16">
        <f>SUM(F76:F77)</f>
        <v>127.97199999999999</v>
      </c>
      <c r="G78" s="16">
        <f>SUM(G76:G77)</f>
        <v>127.97199999999999</v>
      </c>
      <c r="H78" s="207"/>
      <c r="I78" s="207"/>
      <c r="J78" s="207"/>
    </row>
    <row r="80" spans="2:27" x14ac:dyDescent="0.25">
      <c r="B80" s="260" t="s">
        <v>44</v>
      </c>
      <c r="C80" s="268"/>
      <c r="D80" s="268"/>
      <c r="E80" s="261"/>
      <c r="F80" s="260" t="s">
        <v>81</v>
      </c>
      <c r="G80" s="261"/>
      <c r="H80" s="207"/>
      <c r="I80" s="207"/>
      <c r="J80" s="207"/>
    </row>
    <row r="81" spans="2:10" x14ac:dyDescent="0.25">
      <c r="B81" s="256" t="s">
        <v>0</v>
      </c>
      <c r="C81" s="256"/>
      <c r="D81" s="256" t="s">
        <v>7</v>
      </c>
      <c r="E81" s="256"/>
      <c r="F81" s="18" t="s">
        <v>75</v>
      </c>
      <c r="G81" s="18" t="s">
        <v>76</v>
      </c>
      <c r="H81" s="207"/>
      <c r="I81" s="207"/>
      <c r="J81" s="207"/>
    </row>
    <row r="82" spans="2:10" x14ac:dyDescent="0.25">
      <c r="B82" s="14" t="s">
        <v>1</v>
      </c>
      <c r="C82" s="14" t="s">
        <v>6</v>
      </c>
      <c r="D82" s="14" t="s">
        <v>1</v>
      </c>
      <c r="E82" s="14" t="s">
        <v>6</v>
      </c>
      <c r="F82" s="14"/>
      <c r="G82" s="14"/>
      <c r="H82" s="207"/>
      <c r="I82" s="207"/>
      <c r="J82" s="207"/>
    </row>
    <row r="83" spans="2:10" x14ac:dyDescent="0.25">
      <c r="B83" s="12" t="s">
        <v>20</v>
      </c>
      <c r="C83" s="12" t="s">
        <v>116</v>
      </c>
      <c r="D83" s="12" t="s">
        <v>22</v>
      </c>
      <c r="E83" s="12" t="s">
        <v>74</v>
      </c>
      <c r="F83" s="12">
        <f>+G76</f>
        <v>127.97199999999999</v>
      </c>
      <c r="G83" s="12">
        <f>AVERAGE(0.003,0.006)</f>
        <v>4.5000000000000005E-3</v>
      </c>
      <c r="H83" s="207"/>
      <c r="I83" s="207"/>
      <c r="J83" s="207"/>
    </row>
    <row r="84" spans="2:10" x14ac:dyDescent="0.25">
      <c r="B84" s="12"/>
      <c r="C84" s="12"/>
      <c r="D84" s="12" t="s">
        <v>25</v>
      </c>
      <c r="E84" s="12" t="s">
        <v>116</v>
      </c>
      <c r="F84" s="12"/>
      <c r="G84" s="12">
        <f>+F83-G83</f>
        <v>127.9675</v>
      </c>
      <c r="H84" s="207"/>
      <c r="I84" s="207"/>
      <c r="J84" s="207"/>
    </row>
    <row r="85" spans="2:10" x14ac:dyDescent="0.25">
      <c r="B85" s="14" t="s">
        <v>12</v>
      </c>
      <c r="C85" s="14">
        <v>0</v>
      </c>
      <c r="D85" s="14" t="s">
        <v>13</v>
      </c>
      <c r="E85" s="14">
        <v>0</v>
      </c>
      <c r="F85" s="16">
        <f>SUM(F82:F84)</f>
        <v>127.97199999999999</v>
      </c>
      <c r="G85" s="16">
        <f>+G84+G83</f>
        <v>127.97199999999999</v>
      </c>
      <c r="H85" s="207"/>
      <c r="I85" s="207"/>
      <c r="J85" s="207"/>
    </row>
    <row r="86" spans="2:10" x14ac:dyDescent="0.25">
      <c r="B86" s="20"/>
      <c r="C86" s="20"/>
      <c r="D86" s="20"/>
      <c r="E86" s="20"/>
      <c r="F86" s="20"/>
      <c r="G86" s="20"/>
    </row>
    <row r="87" spans="2:10" x14ac:dyDescent="0.25">
      <c r="B87" s="260" t="s">
        <v>45</v>
      </c>
      <c r="C87" s="268"/>
      <c r="D87" s="268"/>
      <c r="E87" s="261"/>
      <c r="F87" s="260" t="s">
        <v>81</v>
      </c>
      <c r="G87" s="261"/>
      <c r="H87" s="207"/>
      <c r="I87" s="207"/>
      <c r="J87" s="207"/>
    </row>
    <row r="88" spans="2:10" x14ac:dyDescent="0.25">
      <c r="B88" s="256" t="s">
        <v>0</v>
      </c>
      <c r="C88" s="256"/>
      <c r="D88" s="256" t="s">
        <v>7</v>
      </c>
      <c r="E88" s="256"/>
      <c r="F88" s="18" t="s">
        <v>68</v>
      </c>
      <c r="G88" s="18" t="s">
        <v>69</v>
      </c>
      <c r="H88" s="207"/>
      <c r="I88" s="207"/>
      <c r="J88" s="207"/>
    </row>
    <row r="89" spans="2:10" x14ac:dyDescent="0.25">
      <c r="B89" s="14" t="s">
        <v>1</v>
      </c>
      <c r="C89" s="14" t="s">
        <v>6</v>
      </c>
      <c r="D89" s="14" t="s">
        <v>1</v>
      </c>
      <c r="E89" s="14" t="s">
        <v>6</v>
      </c>
      <c r="F89" s="14"/>
      <c r="G89" s="14"/>
      <c r="H89" s="207"/>
      <c r="I89" s="207"/>
      <c r="J89" s="207"/>
    </row>
    <row r="90" spans="2:10" x14ac:dyDescent="0.25">
      <c r="B90" s="12" t="s">
        <v>46</v>
      </c>
      <c r="C90" s="12">
        <v>0</v>
      </c>
      <c r="D90" s="12" t="s">
        <v>78</v>
      </c>
      <c r="E90" s="12" t="s">
        <v>106</v>
      </c>
      <c r="F90" s="12">
        <v>0</v>
      </c>
      <c r="G90" s="12">
        <v>5</v>
      </c>
      <c r="H90" s="207"/>
      <c r="I90" s="207"/>
      <c r="J90" s="207"/>
    </row>
    <row r="91" spans="2:10" x14ac:dyDescent="0.25">
      <c r="B91" s="12" t="s">
        <v>73</v>
      </c>
      <c r="C91" s="12">
        <v>0</v>
      </c>
      <c r="D91" s="12"/>
      <c r="E91" s="12"/>
      <c r="F91" s="12">
        <v>0</v>
      </c>
      <c r="G91" s="12"/>
      <c r="H91" s="207"/>
      <c r="I91" s="207"/>
      <c r="J91" s="207"/>
    </row>
    <row r="92" spans="2:10" x14ac:dyDescent="0.25">
      <c r="B92" s="12" t="s">
        <v>48</v>
      </c>
      <c r="C92" s="12">
        <v>0</v>
      </c>
      <c r="D92" s="12"/>
      <c r="E92" s="12"/>
      <c r="F92" s="12">
        <v>0</v>
      </c>
      <c r="G92" s="12"/>
      <c r="H92" s="207"/>
      <c r="I92" s="207"/>
      <c r="J92" s="207"/>
    </row>
    <row r="93" spans="2:10" x14ac:dyDescent="0.25">
      <c r="B93" s="12" t="s">
        <v>47</v>
      </c>
      <c r="C93" s="12">
        <v>5</v>
      </c>
      <c r="D93" s="12"/>
      <c r="E93" s="12"/>
      <c r="F93" s="12">
        <v>5</v>
      </c>
      <c r="G93" s="12"/>
      <c r="H93" s="207"/>
      <c r="I93" s="207"/>
      <c r="J93" s="207"/>
    </row>
    <row r="94" spans="2:10" x14ac:dyDescent="0.25">
      <c r="B94" s="14" t="s">
        <v>12</v>
      </c>
      <c r="C94" s="14">
        <v>0</v>
      </c>
      <c r="D94" s="14" t="s">
        <v>13</v>
      </c>
      <c r="E94" s="14">
        <v>0</v>
      </c>
      <c r="F94" s="16">
        <f>SUM(F90:F93)</f>
        <v>5</v>
      </c>
      <c r="G94" s="16">
        <f>SUM(G90:G93)</f>
        <v>5</v>
      </c>
      <c r="H94" s="207"/>
      <c r="I94" s="207"/>
      <c r="J94" s="207"/>
    </row>
    <row r="95" spans="2:10" x14ac:dyDescent="0.25">
      <c r="B95" s="20"/>
      <c r="C95" s="20"/>
      <c r="D95" s="20"/>
      <c r="E95" s="20"/>
      <c r="F95" s="20"/>
      <c r="G95" s="20"/>
    </row>
    <row r="97" spans="2:10" x14ac:dyDescent="0.25">
      <c r="B97" s="255" t="s">
        <v>14</v>
      </c>
      <c r="C97" s="255"/>
      <c r="D97" s="255"/>
      <c r="E97" s="260"/>
      <c r="F97" s="260" t="s">
        <v>81</v>
      </c>
      <c r="G97" s="261"/>
      <c r="H97" s="207"/>
      <c r="I97" s="207"/>
      <c r="J97" s="207"/>
    </row>
    <row r="98" spans="2:10" x14ac:dyDescent="0.25">
      <c r="B98" s="256" t="s">
        <v>0</v>
      </c>
      <c r="C98" s="256"/>
      <c r="D98" s="256" t="s">
        <v>7</v>
      </c>
      <c r="E98" s="259"/>
      <c r="F98" s="18" t="s">
        <v>68</v>
      </c>
      <c r="G98" s="18" t="s">
        <v>69</v>
      </c>
      <c r="H98" s="207"/>
      <c r="I98" s="207"/>
      <c r="J98" s="207"/>
    </row>
    <row r="99" spans="2:10" x14ac:dyDescent="0.25">
      <c r="B99" s="14" t="s">
        <v>1</v>
      </c>
      <c r="C99" s="14" t="s">
        <v>6</v>
      </c>
      <c r="D99" s="14" t="s">
        <v>1</v>
      </c>
      <c r="E99" s="15" t="s">
        <v>6</v>
      </c>
      <c r="F99" s="14"/>
      <c r="G99" s="14"/>
      <c r="H99" s="207"/>
      <c r="I99" s="207"/>
      <c r="J99" s="207"/>
    </row>
    <row r="100" spans="2:10" x14ac:dyDescent="0.25">
      <c r="B100" s="12" t="s">
        <v>25</v>
      </c>
      <c r="C100" s="12" t="s">
        <v>116</v>
      </c>
      <c r="D100" s="12" t="s">
        <v>52</v>
      </c>
      <c r="E100" s="13">
        <v>80</v>
      </c>
      <c r="F100" s="12">
        <f>+G84</f>
        <v>127.9675</v>
      </c>
      <c r="G100" s="13">
        <v>0</v>
      </c>
      <c r="H100" s="207"/>
      <c r="I100" s="207"/>
      <c r="J100" s="207"/>
    </row>
    <row r="101" spans="2:10" x14ac:dyDescent="0.25">
      <c r="B101" s="12" t="s">
        <v>49</v>
      </c>
      <c r="C101" s="28" t="s">
        <v>106</v>
      </c>
      <c r="D101" s="12" t="s">
        <v>108</v>
      </c>
      <c r="E101" s="13">
        <v>160</v>
      </c>
      <c r="F101" s="28">
        <v>5</v>
      </c>
      <c r="G101" s="29">
        <f>+F100+F101+F102+F105</f>
        <v>211.9675</v>
      </c>
      <c r="H101" s="207"/>
      <c r="I101" s="207"/>
      <c r="J101" s="207"/>
    </row>
    <row r="102" spans="2:10" x14ac:dyDescent="0.25">
      <c r="B102" s="12" t="s">
        <v>23</v>
      </c>
      <c r="C102" s="28" t="s">
        <v>107</v>
      </c>
      <c r="D102" s="12" t="s">
        <v>109</v>
      </c>
      <c r="E102" s="13" t="s">
        <v>110</v>
      </c>
      <c r="F102" s="28">
        <v>9</v>
      </c>
      <c r="G102" s="30">
        <f>+G101-F105</f>
        <v>141.9675</v>
      </c>
      <c r="H102" s="207"/>
      <c r="I102" s="207"/>
      <c r="J102" s="207"/>
    </row>
    <row r="103" spans="2:10" x14ac:dyDescent="0.25">
      <c r="B103" s="12" t="s">
        <v>50</v>
      </c>
      <c r="C103" s="12" t="s">
        <v>11</v>
      </c>
      <c r="D103" s="12"/>
      <c r="E103" s="13"/>
      <c r="F103" s="12" t="s">
        <v>17</v>
      </c>
      <c r="G103" s="13"/>
      <c r="H103" s="207"/>
      <c r="I103" s="207"/>
      <c r="J103" s="207"/>
    </row>
    <row r="104" spans="2:10" x14ac:dyDescent="0.25">
      <c r="B104" s="12" t="s">
        <v>51</v>
      </c>
      <c r="C104" s="12" t="s">
        <v>11</v>
      </c>
      <c r="D104" s="12"/>
      <c r="E104" s="13"/>
      <c r="F104" s="12" t="s">
        <v>17</v>
      </c>
      <c r="G104" s="13"/>
      <c r="H104" s="207"/>
      <c r="I104" s="207"/>
      <c r="J104" s="207"/>
    </row>
    <row r="105" spans="2:10" x14ac:dyDescent="0.25">
      <c r="B105" s="12" t="s">
        <v>53</v>
      </c>
      <c r="C105" s="12" t="s">
        <v>111</v>
      </c>
      <c r="D105" s="12"/>
      <c r="E105" s="13"/>
      <c r="F105" s="12">
        <v>70</v>
      </c>
      <c r="G105" s="13"/>
      <c r="H105" s="207"/>
      <c r="I105" s="207"/>
      <c r="J105" s="207"/>
    </row>
    <row r="106" spans="2:10" x14ac:dyDescent="0.25">
      <c r="B106" s="14" t="s">
        <v>12</v>
      </c>
      <c r="C106" s="14">
        <f>SUM(C100:C102)</f>
        <v>0</v>
      </c>
      <c r="D106" s="14" t="s">
        <v>13</v>
      </c>
      <c r="E106" s="15">
        <f>SUM(E100:E102)</f>
        <v>240</v>
      </c>
      <c r="F106" s="14">
        <f>F100+F101+F102</f>
        <v>141.9675</v>
      </c>
      <c r="G106" s="15">
        <f>+G102</f>
        <v>141.9675</v>
      </c>
      <c r="H106" s="207"/>
      <c r="I106" s="207"/>
      <c r="J106" s="207"/>
    </row>
    <row r="107" spans="2:10" x14ac:dyDescent="0.25">
      <c r="B107" s="20"/>
      <c r="C107" s="20"/>
      <c r="D107" s="20"/>
      <c r="E107" s="20"/>
      <c r="F107" s="20"/>
      <c r="G107" s="20"/>
      <c r="H107" s="22"/>
      <c r="I107" s="22"/>
      <c r="J107" s="22"/>
    </row>
    <row r="108" spans="2:10" x14ac:dyDescent="0.25">
      <c r="B108" s="260" t="s">
        <v>19</v>
      </c>
      <c r="C108" s="268"/>
      <c r="D108" s="268"/>
      <c r="E108" s="261"/>
      <c r="F108" s="260" t="s">
        <v>81</v>
      </c>
      <c r="G108" s="261"/>
      <c r="H108" s="207" t="e" vm="1">
        <v>#VALUE!</v>
      </c>
      <c r="I108" s="207"/>
      <c r="J108" s="207"/>
    </row>
    <row r="109" spans="2:10" x14ac:dyDescent="0.25">
      <c r="B109" s="256" t="s">
        <v>0</v>
      </c>
      <c r="C109" s="256"/>
      <c r="D109" s="256" t="s">
        <v>7</v>
      </c>
      <c r="E109" s="256"/>
      <c r="F109" s="18" t="s">
        <v>68</v>
      </c>
      <c r="G109" s="18" t="s">
        <v>69</v>
      </c>
      <c r="H109" s="207"/>
      <c r="I109" s="207"/>
      <c r="J109" s="207"/>
    </row>
    <row r="110" spans="2:10" x14ac:dyDescent="0.25">
      <c r="B110" s="14" t="s">
        <v>1</v>
      </c>
      <c r="C110" s="14" t="s">
        <v>6</v>
      </c>
      <c r="D110" s="14" t="s">
        <v>1</v>
      </c>
      <c r="E110" s="14" t="s">
        <v>6</v>
      </c>
      <c r="F110" s="14"/>
      <c r="G110" s="14"/>
      <c r="H110" s="207"/>
      <c r="I110" s="207"/>
      <c r="J110" s="207"/>
    </row>
    <row r="111" spans="2:10" x14ac:dyDescent="0.25">
      <c r="B111" s="12" t="s">
        <v>79</v>
      </c>
      <c r="C111" s="13" t="s">
        <v>110</v>
      </c>
      <c r="D111" s="12" t="s">
        <v>54</v>
      </c>
      <c r="E111" s="12" t="s">
        <v>107</v>
      </c>
      <c r="F111" s="12"/>
      <c r="G111" s="12"/>
      <c r="H111" s="207"/>
      <c r="I111" s="207"/>
      <c r="J111" s="207"/>
    </row>
    <row r="112" spans="2:10" x14ac:dyDescent="0.25">
      <c r="B112" s="12" t="s">
        <v>80</v>
      </c>
      <c r="C112" s="12"/>
      <c r="D112" s="12" t="s">
        <v>55</v>
      </c>
      <c r="E112" s="13" t="s">
        <v>110</v>
      </c>
      <c r="F112" s="12"/>
      <c r="G112" s="12"/>
      <c r="H112" s="207"/>
      <c r="I112" s="207"/>
      <c r="J112" s="207"/>
    </row>
    <row r="113" spans="2:10" x14ac:dyDescent="0.25">
      <c r="B113" s="14" t="s">
        <v>12</v>
      </c>
      <c r="C113" s="14">
        <v>0</v>
      </c>
      <c r="D113" s="14" t="s">
        <v>13</v>
      </c>
      <c r="E113" s="14">
        <v>0</v>
      </c>
      <c r="F113" s="16">
        <f>SUM(F111:F112)</f>
        <v>0</v>
      </c>
      <c r="G113" s="16">
        <f>SUM(G111:G112)</f>
        <v>0</v>
      </c>
      <c r="H113" s="207"/>
      <c r="I113" s="207"/>
      <c r="J113" s="207"/>
    </row>
    <row r="115" spans="2:10" x14ac:dyDescent="0.25">
      <c r="B115" s="255" t="s">
        <v>56</v>
      </c>
      <c r="C115" s="255"/>
      <c r="D115" s="255"/>
      <c r="E115" s="260"/>
      <c r="F115" s="260" t="s">
        <v>81</v>
      </c>
      <c r="G115" s="261"/>
      <c r="H115" s="207"/>
      <c r="I115" s="207"/>
    </row>
    <row r="116" spans="2:10" x14ac:dyDescent="0.25">
      <c r="B116" s="256" t="s">
        <v>0</v>
      </c>
      <c r="C116" s="256"/>
      <c r="D116" s="256" t="s">
        <v>7</v>
      </c>
      <c r="E116" s="259"/>
      <c r="F116" s="18" t="s">
        <v>68</v>
      </c>
      <c r="G116" s="18" t="s">
        <v>69</v>
      </c>
      <c r="H116" s="207"/>
      <c r="I116" s="207"/>
    </row>
    <row r="117" spans="2:10" x14ac:dyDescent="0.25">
      <c r="B117" s="14" t="s">
        <v>1</v>
      </c>
      <c r="C117" s="14" t="s">
        <v>6</v>
      </c>
      <c r="D117" s="14" t="s">
        <v>1</v>
      </c>
      <c r="E117" s="15" t="s">
        <v>6</v>
      </c>
      <c r="F117" s="14"/>
      <c r="G117" s="14"/>
      <c r="H117" s="207"/>
      <c r="I117" s="207"/>
    </row>
    <row r="118" spans="2:10" x14ac:dyDescent="0.25">
      <c r="B118" s="12" t="s">
        <v>54</v>
      </c>
      <c r="C118" s="13" t="s">
        <v>17</v>
      </c>
      <c r="D118" s="12" t="s">
        <v>23</v>
      </c>
      <c r="E118" s="13" t="s">
        <v>17</v>
      </c>
      <c r="F118" s="12"/>
      <c r="G118" s="12"/>
      <c r="H118" s="207"/>
      <c r="I118" s="207"/>
    </row>
    <row r="119" spans="2:10" x14ac:dyDescent="0.25">
      <c r="B119" s="12"/>
      <c r="C119" s="12"/>
      <c r="D119" s="12" t="s">
        <v>24</v>
      </c>
      <c r="E119" s="13">
        <v>0.25</v>
      </c>
      <c r="F119" s="12"/>
      <c r="G119" s="12">
        <v>0.25</v>
      </c>
      <c r="H119" s="207"/>
      <c r="I119" s="207"/>
    </row>
    <row r="120" spans="2:10" x14ac:dyDescent="0.25">
      <c r="B120" s="14" t="s">
        <v>12</v>
      </c>
      <c r="C120" s="14">
        <f>SUM(C118:C119)</f>
        <v>0</v>
      </c>
      <c r="D120" s="14" t="s">
        <v>13</v>
      </c>
      <c r="E120" s="15">
        <f>SUM(E118:E119)</f>
        <v>0.25</v>
      </c>
      <c r="F120" s="16">
        <f>SUM(F118:F119)</f>
        <v>0</v>
      </c>
      <c r="G120" s="16">
        <f>SUM(G118:G119)</f>
        <v>0.25</v>
      </c>
      <c r="H120" s="207"/>
      <c r="I120" s="207"/>
    </row>
    <row r="121" spans="2:10" x14ac:dyDescent="0.25">
      <c r="B121" s="20"/>
      <c r="C121" s="20"/>
      <c r="D121" s="20"/>
      <c r="E121" s="20"/>
      <c r="F121" s="20"/>
      <c r="G121" s="20"/>
    </row>
    <row r="122" spans="2:10" x14ac:dyDescent="0.25">
      <c r="B122" s="255" t="s">
        <v>57</v>
      </c>
      <c r="C122" s="255"/>
      <c r="D122" s="255"/>
      <c r="E122" s="255"/>
      <c r="F122" s="260" t="s">
        <v>81</v>
      </c>
      <c r="G122" s="261"/>
      <c r="H122" s="207"/>
      <c r="I122" s="207"/>
    </row>
    <row r="123" spans="2:10" x14ac:dyDescent="0.25">
      <c r="B123" s="256" t="s">
        <v>0</v>
      </c>
      <c r="C123" s="256"/>
      <c r="D123" s="256" t="s">
        <v>7</v>
      </c>
      <c r="E123" s="256"/>
      <c r="F123" s="18" t="s">
        <v>68</v>
      </c>
      <c r="G123" s="18" t="s">
        <v>69</v>
      </c>
      <c r="H123" s="207"/>
      <c r="I123" s="207"/>
    </row>
    <row r="124" spans="2:10" x14ac:dyDescent="0.25">
      <c r="B124" s="14" t="s">
        <v>1</v>
      </c>
      <c r="C124" s="14" t="s">
        <v>6</v>
      </c>
      <c r="D124" s="14" t="s">
        <v>1</v>
      </c>
      <c r="E124" s="14" t="s">
        <v>6</v>
      </c>
      <c r="F124" s="14"/>
      <c r="G124" s="14"/>
      <c r="H124" s="207"/>
      <c r="I124" s="207"/>
    </row>
    <row r="125" spans="2:10" x14ac:dyDescent="0.25">
      <c r="B125" s="12" t="s">
        <v>55</v>
      </c>
      <c r="C125" s="12">
        <v>90</v>
      </c>
      <c r="D125" s="12" t="s">
        <v>60</v>
      </c>
      <c r="E125" s="12">
        <v>80</v>
      </c>
      <c r="F125" s="12">
        <v>90</v>
      </c>
      <c r="G125" s="12">
        <v>80</v>
      </c>
      <c r="H125" s="207"/>
      <c r="I125" s="207"/>
    </row>
    <row r="126" spans="2:10" x14ac:dyDescent="0.25">
      <c r="B126" s="12" t="s">
        <v>58</v>
      </c>
      <c r="C126" s="12"/>
      <c r="D126" s="12"/>
      <c r="E126" s="12"/>
      <c r="F126" s="12"/>
      <c r="G126" s="12"/>
      <c r="H126" s="207"/>
      <c r="I126" s="207"/>
    </row>
    <row r="127" spans="2:10" x14ac:dyDescent="0.25">
      <c r="B127" s="12" t="s">
        <v>59</v>
      </c>
      <c r="C127" s="12"/>
      <c r="D127" s="12"/>
      <c r="E127" s="12"/>
      <c r="F127" s="12"/>
      <c r="G127" s="12"/>
      <c r="H127" s="207"/>
      <c r="I127" s="207"/>
    </row>
    <row r="128" spans="2:10" x14ac:dyDescent="0.25">
      <c r="B128" s="14" t="s">
        <v>12</v>
      </c>
      <c r="C128" s="14">
        <f>SUM(C125:C126)</f>
        <v>90</v>
      </c>
      <c r="D128" s="14" t="s">
        <v>13</v>
      </c>
      <c r="E128" s="14">
        <f>SUM(E125:E126)</f>
        <v>80</v>
      </c>
      <c r="F128" s="16">
        <f>SUM(F125:F127)</f>
        <v>90</v>
      </c>
      <c r="G128" s="16">
        <f>SUM(G125:G127)</f>
        <v>80</v>
      </c>
      <c r="H128" s="207"/>
      <c r="I128" s="207"/>
    </row>
    <row r="129" spans="2:10" x14ac:dyDescent="0.25">
      <c r="B129" s="20"/>
      <c r="C129" s="20"/>
      <c r="D129" s="20"/>
      <c r="E129" s="20"/>
      <c r="F129" s="20"/>
      <c r="G129" s="20"/>
    </row>
    <row r="130" spans="2:10" x14ac:dyDescent="0.25">
      <c r="B130" s="255" t="s">
        <v>61</v>
      </c>
      <c r="C130" s="255"/>
      <c r="D130" s="255"/>
      <c r="E130" s="260"/>
      <c r="F130" s="260" t="s">
        <v>81</v>
      </c>
      <c r="G130" s="261"/>
      <c r="H130" s="207"/>
      <c r="I130" s="207"/>
      <c r="J130" s="207"/>
    </row>
    <row r="131" spans="2:10" x14ac:dyDescent="0.25">
      <c r="B131" s="256" t="s">
        <v>0</v>
      </c>
      <c r="C131" s="256"/>
      <c r="D131" s="256" t="s">
        <v>7</v>
      </c>
      <c r="E131" s="259"/>
      <c r="F131" s="18" t="s">
        <v>68</v>
      </c>
      <c r="G131" s="18" t="s">
        <v>69</v>
      </c>
      <c r="H131" s="207"/>
      <c r="I131" s="207"/>
      <c r="J131" s="207"/>
    </row>
    <row r="132" spans="2:10" x14ac:dyDescent="0.25">
      <c r="B132" s="14" t="s">
        <v>1</v>
      </c>
      <c r="C132" s="14" t="s">
        <v>6</v>
      </c>
      <c r="D132" s="14" t="s">
        <v>1</v>
      </c>
      <c r="E132" s="15" t="s">
        <v>6</v>
      </c>
      <c r="F132" s="14"/>
      <c r="G132" s="15"/>
      <c r="H132" s="207"/>
      <c r="I132" s="207"/>
      <c r="J132" s="207"/>
    </row>
    <row r="133" spans="2:10" x14ac:dyDescent="0.25">
      <c r="B133" s="12" t="s">
        <v>60</v>
      </c>
      <c r="C133" s="12">
        <v>80</v>
      </c>
      <c r="D133" s="12" t="s">
        <v>62</v>
      </c>
      <c r="E133" s="13">
        <v>80</v>
      </c>
      <c r="F133" s="12">
        <v>80</v>
      </c>
      <c r="G133" s="13">
        <v>80</v>
      </c>
      <c r="H133" s="207"/>
      <c r="I133" s="207"/>
      <c r="J133" s="207"/>
    </row>
    <row r="134" spans="2:10" x14ac:dyDescent="0.25">
      <c r="B134" s="14" t="s">
        <v>12</v>
      </c>
      <c r="C134" s="14">
        <f>SUM(C133:C133)</f>
        <v>80</v>
      </c>
      <c r="D134" s="14" t="s">
        <v>13</v>
      </c>
      <c r="E134" s="15">
        <f>SUM(E133:E133)</f>
        <v>80</v>
      </c>
      <c r="F134" s="16">
        <f>SUM(F131:F133)</f>
        <v>80</v>
      </c>
      <c r="G134" s="16">
        <f>SUM(G131:G133)</f>
        <v>80</v>
      </c>
      <c r="H134" s="207"/>
      <c r="I134" s="207"/>
      <c r="J134" s="207"/>
    </row>
    <row r="136" spans="2:10" x14ac:dyDescent="0.25">
      <c r="B136" s="255" t="s">
        <v>82</v>
      </c>
      <c r="C136" s="255"/>
      <c r="D136" s="255"/>
      <c r="E136" s="255"/>
      <c r="F136" s="260" t="s">
        <v>81</v>
      </c>
      <c r="G136" s="261"/>
      <c r="H136" s="262"/>
      <c r="I136" s="263"/>
    </row>
    <row r="137" spans="2:10" x14ac:dyDescent="0.25">
      <c r="B137" s="256" t="s">
        <v>0</v>
      </c>
      <c r="C137" s="256"/>
      <c r="D137" s="256" t="s">
        <v>7</v>
      </c>
      <c r="E137" s="256"/>
      <c r="F137" s="18" t="s">
        <v>68</v>
      </c>
      <c r="G137" s="18" t="s">
        <v>69</v>
      </c>
      <c r="H137" s="264"/>
      <c r="I137" s="265"/>
    </row>
    <row r="138" spans="2:10" x14ac:dyDescent="0.25">
      <c r="B138" s="14" t="s">
        <v>1</v>
      </c>
      <c r="C138" s="14" t="s">
        <v>6</v>
      </c>
      <c r="D138" s="14" t="s">
        <v>1</v>
      </c>
      <c r="E138" s="14" t="s">
        <v>6</v>
      </c>
      <c r="F138" s="14"/>
      <c r="G138" s="14"/>
      <c r="H138" s="264"/>
      <c r="I138" s="265"/>
    </row>
    <row r="139" spans="2:10" x14ac:dyDescent="0.25">
      <c r="B139" s="12" t="s">
        <v>65</v>
      </c>
      <c r="C139" s="12">
        <v>40</v>
      </c>
      <c r="D139" s="12" t="s">
        <v>51</v>
      </c>
      <c r="E139" s="12" t="s">
        <v>17</v>
      </c>
      <c r="F139" s="12">
        <v>40</v>
      </c>
      <c r="G139" s="12"/>
      <c r="H139" s="264"/>
      <c r="I139" s="265"/>
    </row>
    <row r="140" spans="2:10" x14ac:dyDescent="0.25">
      <c r="B140" s="12"/>
      <c r="C140" s="12"/>
      <c r="D140" s="12" t="s">
        <v>59</v>
      </c>
      <c r="E140" s="12" t="s">
        <v>17</v>
      </c>
      <c r="F140" s="12"/>
      <c r="G140" s="12"/>
      <c r="H140" s="264"/>
      <c r="I140" s="265"/>
    </row>
    <row r="141" spans="2:10" x14ac:dyDescent="0.25">
      <c r="B141" s="12"/>
      <c r="C141" s="12"/>
      <c r="D141" s="12" t="s">
        <v>67</v>
      </c>
      <c r="E141" s="12" t="s">
        <v>83</v>
      </c>
      <c r="F141" s="12"/>
      <c r="G141" s="12">
        <v>45</v>
      </c>
      <c r="H141" s="264"/>
      <c r="I141" s="265"/>
    </row>
    <row r="142" spans="2:10" x14ac:dyDescent="0.25">
      <c r="B142" s="14" t="s">
        <v>12</v>
      </c>
      <c r="C142" s="14">
        <f>SUM(C139:C139)</f>
        <v>40</v>
      </c>
      <c r="D142" s="14" t="s">
        <v>13</v>
      </c>
      <c r="E142" s="14">
        <f>SUM(E139:E139)</f>
        <v>0</v>
      </c>
      <c r="F142" s="16">
        <f>SUM(F139:F141)</f>
        <v>40</v>
      </c>
      <c r="G142" s="16">
        <f>SUM(G139:G141)</f>
        <v>45</v>
      </c>
      <c r="H142" s="266"/>
      <c r="I142" s="267"/>
    </row>
    <row r="144" spans="2:10" x14ac:dyDescent="0.25">
      <c r="B144" s="255" t="s">
        <v>63</v>
      </c>
      <c r="C144" s="255"/>
      <c r="D144" s="255"/>
      <c r="E144" s="255"/>
      <c r="F144" s="260" t="s">
        <v>81</v>
      </c>
      <c r="G144" s="261"/>
      <c r="H144" s="262"/>
      <c r="I144" s="263"/>
    </row>
    <row r="145" spans="2:11" x14ac:dyDescent="0.25">
      <c r="B145" s="256" t="s">
        <v>0</v>
      </c>
      <c r="C145" s="256"/>
      <c r="D145" s="256" t="s">
        <v>7</v>
      </c>
      <c r="E145" s="256"/>
      <c r="F145" s="18" t="s">
        <v>68</v>
      </c>
      <c r="G145" s="18" t="s">
        <v>69</v>
      </c>
      <c r="H145" s="264"/>
      <c r="I145" s="265"/>
    </row>
    <row r="146" spans="2:11" x14ac:dyDescent="0.25">
      <c r="B146" s="14" t="s">
        <v>1</v>
      </c>
      <c r="C146" s="14" t="s">
        <v>6</v>
      </c>
      <c r="D146" s="14" t="s">
        <v>1</v>
      </c>
      <c r="E146" s="14" t="s">
        <v>6</v>
      </c>
      <c r="F146" s="14"/>
      <c r="G146" s="14"/>
      <c r="H146" s="264"/>
      <c r="I146" s="265"/>
    </row>
    <row r="147" spans="2:11" x14ac:dyDescent="0.25">
      <c r="B147" s="12" t="s">
        <v>64</v>
      </c>
      <c r="C147" s="12">
        <v>40</v>
      </c>
      <c r="D147" s="12" t="s">
        <v>50</v>
      </c>
      <c r="E147" s="12" t="s">
        <v>17</v>
      </c>
      <c r="F147" s="12">
        <v>40</v>
      </c>
      <c r="G147" s="12"/>
      <c r="H147" s="264"/>
      <c r="I147" s="265"/>
    </row>
    <row r="148" spans="2:11" x14ac:dyDescent="0.25">
      <c r="B148" s="12"/>
      <c r="C148" s="12"/>
      <c r="D148" s="12" t="s">
        <v>58</v>
      </c>
      <c r="E148" s="12" t="s">
        <v>17</v>
      </c>
      <c r="F148" s="12"/>
      <c r="G148" s="12"/>
      <c r="H148" s="264"/>
      <c r="I148" s="265"/>
    </row>
    <row r="149" spans="2:11" x14ac:dyDescent="0.25">
      <c r="B149" s="12"/>
      <c r="C149" s="12"/>
      <c r="D149" s="12" t="s">
        <v>66</v>
      </c>
      <c r="E149" s="12" t="s">
        <v>84</v>
      </c>
      <c r="F149" s="12"/>
      <c r="G149" s="12">
        <v>31.5</v>
      </c>
      <c r="H149" s="264"/>
      <c r="I149" s="265"/>
    </row>
    <row r="150" spans="2:11" x14ac:dyDescent="0.25">
      <c r="B150" s="14" t="s">
        <v>12</v>
      </c>
      <c r="C150" s="14">
        <f>SUM(C147:C147)</f>
        <v>40</v>
      </c>
      <c r="D150" s="14" t="s">
        <v>13</v>
      </c>
      <c r="E150" s="14">
        <f>SUM(E147:E147)</f>
        <v>0</v>
      </c>
      <c r="F150" s="16">
        <f>SUM(F147:F149)</f>
        <v>40</v>
      </c>
      <c r="G150" s="16">
        <f>SUM(G147:G149)</f>
        <v>31.5</v>
      </c>
      <c r="H150" s="266"/>
      <c r="I150" s="267"/>
    </row>
    <row r="151" spans="2:11" x14ac:dyDescent="0.25">
      <c r="B151" s="22"/>
      <c r="C151" s="22"/>
      <c r="D151" s="22"/>
      <c r="E151" s="22"/>
      <c r="F151" s="22"/>
      <c r="G151" s="22"/>
      <c r="H151" s="22"/>
      <c r="I151" s="22"/>
    </row>
    <row r="152" spans="2:11" x14ac:dyDescent="0.25">
      <c r="B152" s="255" t="s">
        <v>87</v>
      </c>
      <c r="C152" s="255"/>
      <c r="D152" s="255"/>
      <c r="E152" s="255"/>
      <c r="F152" s="255" t="s">
        <v>81</v>
      </c>
      <c r="G152" s="255"/>
      <c r="H152" s="207"/>
      <c r="I152" s="207"/>
    </row>
    <row r="153" spans="2:11" x14ac:dyDescent="0.25">
      <c r="B153" s="256" t="s">
        <v>0</v>
      </c>
      <c r="C153" s="256"/>
      <c r="D153" s="256" t="s">
        <v>7</v>
      </c>
      <c r="E153" s="256"/>
      <c r="F153" s="18" t="s">
        <v>68</v>
      </c>
      <c r="G153" s="18" t="s">
        <v>69</v>
      </c>
      <c r="H153" s="207"/>
      <c r="I153" s="207"/>
    </row>
    <row r="154" spans="2:11" x14ac:dyDescent="0.25">
      <c r="B154" s="14" t="s">
        <v>1</v>
      </c>
      <c r="C154" s="14" t="s">
        <v>6</v>
      </c>
      <c r="D154" s="14" t="s">
        <v>1</v>
      </c>
      <c r="E154" s="14" t="s">
        <v>6</v>
      </c>
      <c r="F154" s="14"/>
      <c r="G154" s="14"/>
      <c r="H154" s="207"/>
      <c r="I154" s="207"/>
    </row>
    <row r="155" spans="2:11" x14ac:dyDescent="0.25">
      <c r="B155" s="12" t="s">
        <v>67</v>
      </c>
      <c r="C155" s="12" t="s">
        <v>83</v>
      </c>
      <c r="D155" s="12" t="s">
        <v>48</v>
      </c>
      <c r="E155" s="12" t="s">
        <v>77</v>
      </c>
      <c r="F155" s="12">
        <v>45</v>
      </c>
      <c r="G155" s="12">
        <v>18</v>
      </c>
      <c r="H155" s="207"/>
      <c r="I155" s="207"/>
    </row>
    <row r="156" spans="2:11" x14ac:dyDescent="0.25">
      <c r="B156" s="12" t="s">
        <v>66</v>
      </c>
      <c r="C156" s="12" t="s">
        <v>84</v>
      </c>
      <c r="D156" s="12" t="s">
        <v>85</v>
      </c>
      <c r="E156" s="12" t="s">
        <v>86</v>
      </c>
      <c r="F156" s="12">
        <v>31.5</v>
      </c>
      <c r="G156" s="12">
        <v>60</v>
      </c>
      <c r="H156" s="207"/>
      <c r="I156" s="207"/>
    </row>
    <row r="157" spans="2:11" x14ac:dyDescent="0.25">
      <c r="B157" s="14" t="s">
        <v>12</v>
      </c>
      <c r="C157" s="14">
        <f>SUM(C155:C155)</f>
        <v>0</v>
      </c>
      <c r="D157" s="14" t="s">
        <v>13</v>
      </c>
      <c r="E157" s="14">
        <f>SUM(E155:E155)</f>
        <v>0</v>
      </c>
      <c r="F157" s="16">
        <f>SUM(F155:F156)</f>
        <v>76.5</v>
      </c>
      <c r="G157" s="16">
        <f>SUM(G155:G156)</f>
        <v>78</v>
      </c>
      <c r="H157" s="207"/>
      <c r="I157" s="207"/>
    </row>
    <row r="158" spans="2:11" x14ac:dyDescent="0.25">
      <c r="I158" s="22"/>
    </row>
    <row r="159" spans="2:11" x14ac:dyDescent="0.25">
      <c r="B159" s="255" t="s">
        <v>88</v>
      </c>
      <c r="C159" s="255"/>
      <c r="D159" s="255"/>
      <c r="E159" s="255"/>
      <c r="F159" s="255" t="s">
        <v>81</v>
      </c>
      <c r="G159" s="255"/>
      <c r="H159" s="207"/>
      <c r="I159" s="207"/>
      <c r="J159" s="207"/>
      <c r="K159" s="207"/>
    </row>
    <row r="160" spans="2:11" x14ac:dyDescent="0.25">
      <c r="B160" s="256" t="s">
        <v>0</v>
      </c>
      <c r="C160" s="256"/>
      <c r="D160" s="256" t="s">
        <v>7</v>
      </c>
      <c r="E160" s="256"/>
      <c r="F160" s="18" t="s">
        <v>68</v>
      </c>
      <c r="G160" s="18" t="s">
        <v>69</v>
      </c>
      <c r="H160" s="207"/>
      <c r="I160" s="207"/>
      <c r="J160" s="207"/>
      <c r="K160" s="207"/>
    </row>
    <row r="161" spans="2:11" x14ac:dyDescent="0.25">
      <c r="B161" s="14" t="s">
        <v>1</v>
      </c>
      <c r="C161" s="14" t="s">
        <v>6</v>
      </c>
      <c r="D161" s="14" t="s">
        <v>1</v>
      </c>
      <c r="E161" s="14" t="s">
        <v>6</v>
      </c>
      <c r="F161" s="14"/>
      <c r="G161" s="14"/>
      <c r="H161" s="207"/>
      <c r="I161" s="207"/>
      <c r="J161" s="207"/>
      <c r="K161" s="207"/>
    </row>
    <row r="162" spans="2:11" x14ac:dyDescent="0.25">
      <c r="B162" s="12" t="s">
        <v>85</v>
      </c>
      <c r="C162" s="12" t="s">
        <v>86</v>
      </c>
      <c r="D162" s="12" t="s">
        <v>89</v>
      </c>
      <c r="E162" s="12" t="s">
        <v>91</v>
      </c>
      <c r="F162" s="12">
        <v>60</v>
      </c>
      <c r="G162" s="12">
        <v>30</v>
      </c>
      <c r="H162" s="207"/>
      <c r="I162" s="207"/>
      <c r="J162" s="207"/>
      <c r="K162" s="207"/>
    </row>
    <row r="163" spans="2:11" x14ac:dyDescent="0.25">
      <c r="B163" s="12"/>
      <c r="C163" s="12"/>
      <c r="D163" s="12" t="s">
        <v>90</v>
      </c>
      <c r="E163" s="12" t="s">
        <v>91</v>
      </c>
      <c r="F163" s="12"/>
      <c r="G163" s="12">
        <v>30</v>
      </c>
      <c r="H163" s="207"/>
      <c r="I163" s="207"/>
      <c r="J163" s="207"/>
      <c r="K163" s="207"/>
    </row>
    <row r="164" spans="2:11" x14ac:dyDescent="0.25">
      <c r="B164" s="14" t="s">
        <v>12</v>
      </c>
      <c r="C164" s="14">
        <f>SUM(C162:C162)</f>
        <v>0</v>
      </c>
      <c r="D164" s="14" t="s">
        <v>13</v>
      </c>
      <c r="E164" s="14">
        <f>SUM(E162:E162)</f>
        <v>0</v>
      </c>
      <c r="F164" s="16">
        <f>SUM(F162:F163)</f>
        <v>60</v>
      </c>
      <c r="G164" s="16">
        <f>SUM(G162:G163)</f>
        <v>60</v>
      </c>
      <c r="H164" s="207"/>
      <c r="I164" s="207"/>
      <c r="J164" s="207"/>
      <c r="K164" s="207"/>
    </row>
    <row r="165" spans="2:11" x14ac:dyDescent="0.25">
      <c r="H165" s="22"/>
      <c r="I165" s="22"/>
    </row>
    <row r="166" spans="2:11" x14ac:dyDescent="0.25">
      <c r="B166" s="27"/>
      <c r="C166" s="27"/>
      <c r="D166" s="27"/>
      <c r="E166" s="27"/>
      <c r="F166" s="27"/>
      <c r="G166" s="27"/>
      <c r="H166" s="22"/>
      <c r="I166" s="22"/>
    </row>
    <row r="167" spans="2:11" x14ac:dyDescent="0.25">
      <c r="B167" s="257" t="s">
        <v>21</v>
      </c>
      <c r="C167" s="257"/>
      <c r="D167" s="257"/>
      <c r="E167" s="258"/>
      <c r="F167" s="255" t="s">
        <v>81</v>
      </c>
      <c r="G167" s="255"/>
      <c r="H167" s="207"/>
      <c r="I167" s="207"/>
      <c r="J167" s="207"/>
      <c r="K167" s="207"/>
    </row>
    <row r="168" spans="2:11" x14ac:dyDescent="0.25">
      <c r="B168" s="256" t="s">
        <v>0</v>
      </c>
      <c r="C168" s="256"/>
      <c r="D168" s="256" t="s">
        <v>7</v>
      </c>
      <c r="E168" s="259"/>
      <c r="F168" s="18" t="s">
        <v>68</v>
      </c>
      <c r="G168" s="18" t="s">
        <v>69</v>
      </c>
      <c r="H168" s="207"/>
      <c r="I168" s="207"/>
      <c r="J168" s="207"/>
      <c r="K168" s="207"/>
    </row>
    <row r="169" spans="2:11" x14ac:dyDescent="0.25">
      <c r="B169" s="14" t="s">
        <v>1</v>
      </c>
      <c r="C169" s="14" t="s">
        <v>6</v>
      </c>
      <c r="D169" s="14" t="s">
        <v>1</v>
      </c>
      <c r="E169" s="15" t="s">
        <v>6</v>
      </c>
      <c r="F169" s="14"/>
      <c r="G169" s="14"/>
      <c r="H169" s="207"/>
      <c r="I169" s="207"/>
      <c r="J169" s="207"/>
      <c r="K169" s="207"/>
    </row>
    <row r="170" spans="2:11" x14ac:dyDescent="0.25">
      <c r="B170" s="12" t="s">
        <v>92</v>
      </c>
      <c r="C170" s="12">
        <v>60</v>
      </c>
      <c r="D170" s="12" t="s">
        <v>93</v>
      </c>
      <c r="E170" s="13">
        <v>30</v>
      </c>
      <c r="F170" s="12">
        <v>60</v>
      </c>
      <c r="G170" s="13">
        <v>30</v>
      </c>
      <c r="H170" s="207"/>
      <c r="I170" s="207"/>
      <c r="J170" s="207"/>
      <c r="K170" s="207"/>
    </row>
    <row r="171" spans="2:11" x14ac:dyDescent="0.25">
      <c r="B171" s="12"/>
      <c r="C171" s="12"/>
      <c r="D171" s="12" t="s">
        <v>94</v>
      </c>
      <c r="E171" s="13">
        <v>30</v>
      </c>
      <c r="F171" s="12"/>
      <c r="G171" s="13">
        <v>30</v>
      </c>
      <c r="H171" s="207"/>
      <c r="I171" s="207"/>
      <c r="J171" s="207"/>
      <c r="K171" s="207"/>
    </row>
    <row r="172" spans="2:11" x14ac:dyDescent="0.25">
      <c r="B172" s="12"/>
      <c r="C172" s="12"/>
      <c r="D172" s="12" t="s">
        <v>95</v>
      </c>
      <c r="E172" s="13">
        <v>15</v>
      </c>
      <c r="F172" s="12"/>
      <c r="G172" s="13">
        <v>15</v>
      </c>
      <c r="H172" s="207"/>
      <c r="I172" s="207"/>
      <c r="J172" s="207"/>
      <c r="K172" s="207"/>
    </row>
    <row r="173" spans="2:11" x14ac:dyDescent="0.25">
      <c r="B173" s="12"/>
      <c r="C173" s="12"/>
      <c r="D173" s="12" t="s">
        <v>96</v>
      </c>
      <c r="E173" s="13">
        <v>15</v>
      </c>
      <c r="F173" s="12"/>
      <c r="G173" s="13">
        <v>15</v>
      </c>
      <c r="H173" s="207"/>
      <c r="I173" s="207"/>
      <c r="J173" s="207"/>
      <c r="K173" s="207"/>
    </row>
    <row r="174" spans="2:11" x14ac:dyDescent="0.25">
      <c r="B174" s="12"/>
      <c r="C174" s="12"/>
      <c r="D174" s="12" t="s">
        <v>97</v>
      </c>
      <c r="E174" s="13">
        <v>5</v>
      </c>
      <c r="F174" s="12"/>
      <c r="G174" s="13">
        <v>5</v>
      </c>
      <c r="H174" s="207"/>
      <c r="I174" s="207"/>
      <c r="J174" s="207"/>
      <c r="K174" s="207"/>
    </row>
    <row r="175" spans="2:11" x14ac:dyDescent="0.25">
      <c r="B175" s="12"/>
      <c r="C175" s="12"/>
      <c r="D175" s="12" t="s">
        <v>98</v>
      </c>
      <c r="E175" s="13">
        <v>20</v>
      </c>
      <c r="F175" s="12"/>
      <c r="G175" s="13">
        <v>20</v>
      </c>
      <c r="H175" s="207"/>
      <c r="I175" s="207"/>
      <c r="J175" s="207"/>
      <c r="K175" s="207"/>
    </row>
    <row r="176" spans="2:11" x14ac:dyDescent="0.25">
      <c r="B176" s="12"/>
      <c r="C176" s="12"/>
      <c r="D176" s="12" t="s">
        <v>99</v>
      </c>
      <c r="E176" s="13">
        <v>15</v>
      </c>
      <c r="F176" s="12"/>
      <c r="G176" s="13">
        <v>15</v>
      </c>
      <c r="H176" s="207"/>
      <c r="I176" s="207"/>
      <c r="J176" s="207"/>
      <c r="K176" s="207"/>
    </row>
    <row r="177" spans="2:11" x14ac:dyDescent="0.25">
      <c r="B177" s="12"/>
      <c r="C177" s="12"/>
      <c r="D177" s="12" t="s">
        <v>101</v>
      </c>
      <c r="E177" s="13">
        <v>5</v>
      </c>
      <c r="F177" s="12"/>
      <c r="G177" s="13">
        <v>5</v>
      </c>
      <c r="H177" s="207"/>
      <c r="I177" s="207"/>
      <c r="J177" s="207"/>
      <c r="K177" s="207"/>
    </row>
    <row r="178" spans="2:11" x14ac:dyDescent="0.25">
      <c r="B178" s="12"/>
      <c r="C178" s="12"/>
      <c r="D178" s="12" t="s">
        <v>100</v>
      </c>
      <c r="E178" s="13">
        <v>15</v>
      </c>
      <c r="F178" s="12"/>
      <c r="G178" s="13">
        <v>15</v>
      </c>
      <c r="H178" s="207"/>
      <c r="I178" s="207"/>
      <c r="J178" s="207"/>
      <c r="K178" s="207"/>
    </row>
    <row r="179" spans="2:11" x14ac:dyDescent="0.25">
      <c r="B179" s="14" t="s">
        <v>12</v>
      </c>
      <c r="C179" s="14">
        <f>SUM(C170:C172)</f>
        <v>60</v>
      </c>
      <c r="D179" s="14" t="s">
        <v>13</v>
      </c>
      <c r="E179" s="15">
        <f>SUM(E170:E178)</f>
        <v>150</v>
      </c>
      <c r="F179" s="16">
        <f>SUM(F170:F178)</f>
        <v>60</v>
      </c>
      <c r="G179" s="16">
        <f>SUM(G170,G172,G177,G176)</f>
        <v>65</v>
      </c>
      <c r="H179" s="207"/>
      <c r="I179" s="207"/>
      <c r="J179" s="207"/>
      <c r="K179" s="207"/>
    </row>
  </sheetData>
  <mergeCells count="140">
    <mergeCell ref="B2:E2"/>
    <mergeCell ref="F2:G2"/>
    <mergeCell ref="P2:S2"/>
    <mergeCell ref="T2:AA2"/>
    <mergeCell ref="AD2:AE2"/>
    <mergeCell ref="B3:C3"/>
    <mergeCell ref="D3:E3"/>
    <mergeCell ref="N3:N5"/>
    <mergeCell ref="O3:O5"/>
    <mergeCell ref="P3:P5"/>
    <mergeCell ref="W3:W5"/>
    <mergeCell ref="X3:X5"/>
    <mergeCell ref="Y3:Y5"/>
    <mergeCell ref="Z3:Z5"/>
    <mergeCell ref="AA3:AA5"/>
    <mergeCell ref="T6:T10"/>
    <mergeCell ref="Q3:Q5"/>
    <mergeCell ref="R3:R5"/>
    <mergeCell ref="S3:S5"/>
    <mergeCell ref="T3:T5"/>
    <mergeCell ref="U3:U5"/>
    <mergeCell ref="V3:V5"/>
    <mergeCell ref="B9:E9"/>
    <mergeCell ref="F9:G9"/>
    <mergeCell ref="H9:L15"/>
    <mergeCell ref="B10:C10"/>
    <mergeCell ref="D10:E10"/>
    <mergeCell ref="B17:E17"/>
    <mergeCell ref="F17:G17"/>
    <mergeCell ref="H17:J22"/>
    <mergeCell ref="B18:C18"/>
    <mergeCell ref="D18:E18"/>
    <mergeCell ref="N30:N31"/>
    <mergeCell ref="O30:O31"/>
    <mergeCell ref="T30:T31"/>
    <mergeCell ref="N32:N33"/>
    <mergeCell ref="O32:O33"/>
    <mergeCell ref="T32:T33"/>
    <mergeCell ref="T18:T21"/>
    <mergeCell ref="B24:E24"/>
    <mergeCell ref="F24:G24"/>
    <mergeCell ref="H24:J29"/>
    <mergeCell ref="B25:C25"/>
    <mergeCell ref="D25:E25"/>
    <mergeCell ref="B53:E53"/>
    <mergeCell ref="F53:G53"/>
    <mergeCell ref="H53:J60"/>
    <mergeCell ref="B54:C54"/>
    <mergeCell ref="D54:E54"/>
    <mergeCell ref="N58:N59"/>
    <mergeCell ref="O58:O59"/>
    <mergeCell ref="B34:E34"/>
    <mergeCell ref="F34:G34"/>
    <mergeCell ref="H34:I51"/>
    <mergeCell ref="B35:C35"/>
    <mergeCell ref="D35:E35"/>
    <mergeCell ref="N36:N39"/>
    <mergeCell ref="Z58:Z59"/>
    <mergeCell ref="AA58:AA59"/>
    <mergeCell ref="N60:N61"/>
    <mergeCell ref="O60:O61"/>
    <mergeCell ref="Z60:Z61"/>
    <mergeCell ref="AA60:AA61"/>
    <mergeCell ref="O36:O39"/>
    <mergeCell ref="N41:N49"/>
    <mergeCell ref="O41:O49"/>
    <mergeCell ref="O70:O71"/>
    <mergeCell ref="Z70:Z71"/>
    <mergeCell ref="AA70:AA71"/>
    <mergeCell ref="B73:E73"/>
    <mergeCell ref="F73:G73"/>
    <mergeCell ref="H73:J78"/>
    <mergeCell ref="B74:C74"/>
    <mergeCell ref="D74:E74"/>
    <mergeCell ref="B63:E63"/>
    <mergeCell ref="F63:G63"/>
    <mergeCell ref="H63:J69"/>
    <mergeCell ref="B64:C64"/>
    <mergeCell ref="D64:E64"/>
    <mergeCell ref="N70:N71"/>
    <mergeCell ref="B80:E80"/>
    <mergeCell ref="F80:G80"/>
    <mergeCell ref="H80:J85"/>
    <mergeCell ref="B81:C81"/>
    <mergeCell ref="D81:E81"/>
    <mergeCell ref="B87:E87"/>
    <mergeCell ref="F87:G87"/>
    <mergeCell ref="H87:J94"/>
    <mergeCell ref="B88:C88"/>
    <mergeCell ref="D88:E88"/>
    <mergeCell ref="B97:E97"/>
    <mergeCell ref="F97:G97"/>
    <mergeCell ref="H97:J106"/>
    <mergeCell ref="B98:C98"/>
    <mergeCell ref="D98:E98"/>
    <mergeCell ref="B108:E108"/>
    <mergeCell ref="F108:G108"/>
    <mergeCell ref="H108:J113"/>
    <mergeCell ref="B109:C109"/>
    <mergeCell ref="D109:E109"/>
    <mergeCell ref="B115:E115"/>
    <mergeCell ref="F115:G115"/>
    <mergeCell ref="H115:I120"/>
    <mergeCell ref="B116:C116"/>
    <mergeCell ref="D116:E116"/>
    <mergeCell ref="B122:E122"/>
    <mergeCell ref="F122:G122"/>
    <mergeCell ref="H122:I128"/>
    <mergeCell ref="B123:C123"/>
    <mergeCell ref="D123:E123"/>
    <mergeCell ref="B130:E130"/>
    <mergeCell ref="F130:G130"/>
    <mergeCell ref="H130:J134"/>
    <mergeCell ref="B131:C131"/>
    <mergeCell ref="D131:E131"/>
    <mergeCell ref="B136:E136"/>
    <mergeCell ref="F136:G136"/>
    <mergeCell ref="H136:I142"/>
    <mergeCell ref="B137:C137"/>
    <mergeCell ref="D137:E137"/>
    <mergeCell ref="B144:E144"/>
    <mergeCell ref="F144:G144"/>
    <mergeCell ref="H144:I150"/>
    <mergeCell ref="B145:C145"/>
    <mergeCell ref="D145:E145"/>
    <mergeCell ref="B152:E152"/>
    <mergeCell ref="F152:G152"/>
    <mergeCell ref="H152:I157"/>
    <mergeCell ref="B153:C153"/>
    <mergeCell ref="D153:E153"/>
    <mergeCell ref="B159:E159"/>
    <mergeCell ref="F159:G159"/>
    <mergeCell ref="H159:K164"/>
    <mergeCell ref="B160:C160"/>
    <mergeCell ref="D160:E160"/>
    <mergeCell ref="B167:E167"/>
    <mergeCell ref="F167:G167"/>
    <mergeCell ref="H167:K179"/>
    <mergeCell ref="B168:C168"/>
    <mergeCell ref="D168:E16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D8D5-7604-47CA-A7B7-C43C3114C990}">
  <dimension ref="B2:L160"/>
  <sheetViews>
    <sheetView topLeftCell="A3" zoomScaleNormal="100" workbookViewId="0">
      <selection activeCell="H9" sqref="H9:L15"/>
    </sheetView>
  </sheetViews>
  <sheetFormatPr baseColWidth="10" defaultColWidth="11.42578125" defaultRowHeight="15" x14ac:dyDescent="0.25"/>
  <cols>
    <col min="1" max="2" width="11.42578125" style="2"/>
    <col min="3" max="3" width="44" style="2" customWidth="1"/>
    <col min="4" max="4" width="16.7109375" style="2" customWidth="1"/>
    <col min="5" max="5" width="13.42578125" style="2" customWidth="1"/>
    <col min="6" max="11" width="11.42578125" style="2"/>
    <col min="12" max="12" width="7.5703125" style="2" customWidth="1"/>
    <col min="13" max="16384" width="11.42578125" style="2"/>
  </cols>
  <sheetData>
    <row r="2" spans="2:12" x14ac:dyDescent="0.25">
      <c r="B2" s="255" t="s">
        <v>26</v>
      </c>
      <c r="C2" s="255"/>
      <c r="D2" s="255"/>
      <c r="E2" s="260"/>
      <c r="F2" s="260" t="s">
        <v>81</v>
      </c>
      <c r="G2" s="261"/>
      <c r="H2" s="3"/>
      <c r="I2" s="4"/>
      <c r="J2" s="4"/>
      <c r="K2" s="4"/>
      <c r="L2" s="5"/>
    </row>
    <row r="3" spans="2:12" x14ac:dyDescent="0.25">
      <c r="B3" s="256" t="s">
        <v>0</v>
      </c>
      <c r="C3" s="256"/>
      <c r="D3" s="256" t="s">
        <v>7</v>
      </c>
      <c r="E3" s="259"/>
      <c r="F3" s="18" t="s">
        <v>68</v>
      </c>
      <c r="G3" s="18" t="s">
        <v>69</v>
      </c>
      <c r="H3" s="1"/>
      <c r="L3" s="6"/>
    </row>
    <row r="4" spans="2:12" x14ac:dyDescent="0.25">
      <c r="B4" s="14" t="s">
        <v>1</v>
      </c>
      <c r="C4" s="14" t="s">
        <v>6</v>
      </c>
      <c r="D4" s="14" t="s">
        <v>1</v>
      </c>
      <c r="E4" s="15" t="s">
        <v>6</v>
      </c>
      <c r="F4" s="23"/>
      <c r="G4" s="23"/>
      <c r="H4" s="1"/>
      <c r="L4" s="7"/>
    </row>
    <row r="5" spans="2:12" x14ac:dyDescent="0.25">
      <c r="B5" s="12" t="s">
        <v>2</v>
      </c>
      <c r="C5" s="13" t="s">
        <v>112</v>
      </c>
      <c r="D5" s="12" t="s">
        <v>10</v>
      </c>
      <c r="E5" s="13" t="s">
        <v>114</v>
      </c>
      <c r="F5" s="13">
        <v>3</v>
      </c>
      <c r="G5" s="13">
        <v>18</v>
      </c>
      <c r="H5" s="1"/>
      <c r="L5" s="7"/>
    </row>
    <row r="6" spans="2:12" x14ac:dyDescent="0.25">
      <c r="B6" s="12" t="s">
        <v>3</v>
      </c>
      <c r="C6" s="13" t="s">
        <v>113</v>
      </c>
      <c r="D6" s="13" t="s">
        <v>17</v>
      </c>
      <c r="E6" s="13" t="s">
        <v>17</v>
      </c>
      <c r="F6" s="13">
        <v>15</v>
      </c>
      <c r="G6" s="13"/>
      <c r="H6" s="1"/>
      <c r="L6" s="7"/>
    </row>
    <row r="7" spans="2:12" x14ac:dyDescent="0.25">
      <c r="B7" s="14" t="s">
        <v>12</v>
      </c>
      <c r="C7" s="14">
        <f>SUM(C5:C6)</f>
        <v>0</v>
      </c>
      <c r="D7" s="14" t="s">
        <v>13</v>
      </c>
      <c r="E7" s="15">
        <v>12</v>
      </c>
      <c r="F7" s="24">
        <f>+F6+F5</f>
        <v>18</v>
      </c>
      <c r="G7" s="24">
        <v>18</v>
      </c>
      <c r="H7" s="8"/>
      <c r="I7" s="9"/>
      <c r="J7" s="9"/>
      <c r="K7" s="9"/>
      <c r="L7" s="10"/>
    </row>
    <row r="9" spans="2:12" x14ac:dyDescent="0.25">
      <c r="B9" s="255" t="s">
        <v>27</v>
      </c>
      <c r="C9" s="255"/>
      <c r="D9" s="255"/>
      <c r="E9" s="255"/>
      <c r="F9" s="260" t="s">
        <v>81</v>
      </c>
      <c r="G9" s="261"/>
      <c r="H9" s="262"/>
      <c r="I9" s="284"/>
      <c r="J9" s="284"/>
      <c r="K9" s="284"/>
      <c r="L9" s="263"/>
    </row>
    <row r="10" spans="2:12" x14ac:dyDescent="0.25">
      <c r="B10" s="256" t="s">
        <v>0</v>
      </c>
      <c r="C10" s="256"/>
      <c r="D10" s="256" t="s">
        <v>7</v>
      </c>
      <c r="E10" s="256"/>
      <c r="F10" s="18" t="s">
        <v>68</v>
      </c>
      <c r="G10" s="18" t="s">
        <v>69</v>
      </c>
      <c r="H10" s="264"/>
      <c r="I10" s="285"/>
      <c r="J10" s="285"/>
      <c r="K10" s="285"/>
      <c r="L10" s="265"/>
    </row>
    <row r="11" spans="2:12" x14ac:dyDescent="0.25">
      <c r="B11" s="14" t="s">
        <v>1</v>
      </c>
      <c r="C11" s="14" t="s">
        <v>6</v>
      </c>
      <c r="D11" s="14" t="s">
        <v>1</v>
      </c>
      <c r="E11" s="14" t="s">
        <v>6</v>
      </c>
      <c r="F11" s="23"/>
      <c r="G11" s="23"/>
      <c r="H11" s="264"/>
      <c r="I11" s="285"/>
      <c r="J11" s="285"/>
      <c r="K11" s="285"/>
      <c r="L11" s="265"/>
    </row>
    <row r="12" spans="2:12" x14ac:dyDescent="0.25">
      <c r="B12" s="12" t="s">
        <v>4</v>
      </c>
      <c r="C12" s="12" t="s">
        <v>104</v>
      </c>
      <c r="D12" s="12"/>
      <c r="E12" s="12"/>
      <c r="F12" s="13">
        <v>80</v>
      </c>
      <c r="G12" s="13"/>
      <c r="H12" s="264"/>
      <c r="I12" s="285"/>
      <c r="J12" s="285"/>
      <c r="K12" s="285"/>
      <c r="L12" s="265"/>
    </row>
    <row r="13" spans="2:12" x14ac:dyDescent="0.25">
      <c r="B13" s="12" t="s">
        <v>5</v>
      </c>
      <c r="C13" s="12" t="s">
        <v>102</v>
      </c>
      <c r="D13" s="12" t="s">
        <v>15</v>
      </c>
      <c r="E13" s="12" t="s">
        <v>105</v>
      </c>
      <c r="F13" s="13">
        <v>20</v>
      </c>
      <c r="G13" s="13">
        <v>110</v>
      </c>
      <c r="H13" s="264"/>
      <c r="I13" s="285"/>
      <c r="J13" s="285"/>
      <c r="K13" s="285"/>
      <c r="L13" s="265"/>
    </row>
    <row r="14" spans="2:12" x14ac:dyDescent="0.25">
      <c r="B14" s="12" t="s">
        <v>9</v>
      </c>
      <c r="C14" s="12" t="s">
        <v>103</v>
      </c>
      <c r="D14" s="12"/>
      <c r="E14" s="12"/>
      <c r="F14" s="13">
        <v>10</v>
      </c>
      <c r="G14" s="24"/>
      <c r="H14" s="264"/>
      <c r="I14" s="285"/>
      <c r="J14" s="285"/>
      <c r="K14" s="285"/>
      <c r="L14" s="265"/>
    </row>
    <row r="15" spans="2:12" x14ac:dyDescent="0.25">
      <c r="B15" s="14" t="s">
        <v>12</v>
      </c>
      <c r="C15" s="14">
        <v>80</v>
      </c>
      <c r="D15" s="14" t="s">
        <v>13</v>
      </c>
      <c r="E15" s="14">
        <v>130</v>
      </c>
      <c r="F15" s="16">
        <f>SUM(F12:F14)</f>
        <v>110</v>
      </c>
      <c r="G15" s="16">
        <f>SUM(G12:G14)</f>
        <v>110</v>
      </c>
      <c r="H15" s="266"/>
      <c r="I15" s="286"/>
      <c r="J15" s="286"/>
      <c r="K15" s="286"/>
      <c r="L15" s="267"/>
    </row>
    <row r="17" spans="2:10" x14ac:dyDescent="0.25">
      <c r="B17" s="255" t="s">
        <v>29</v>
      </c>
      <c r="C17" s="255"/>
      <c r="D17" s="255"/>
      <c r="E17" s="255"/>
      <c r="F17" s="260" t="s">
        <v>81</v>
      </c>
      <c r="G17" s="261"/>
      <c r="H17" s="262"/>
      <c r="I17" s="284"/>
      <c r="J17" s="263"/>
    </row>
    <row r="18" spans="2:10" x14ac:dyDescent="0.25">
      <c r="B18" s="256" t="s">
        <v>0</v>
      </c>
      <c r="C18" s="256"/>
      <c r="D18" s="256" t="s">
        <v>7</v>
      </c>
      <c r="E18" s="256"/>
      <c r="F18" s="18" t="s">
        <v>68</v>
      </c>
      <c r="G18" s="18" t="s">
        <v>69</v>
      </c>
      <c r="H18" s="264"/>
      <c r="I18" s="285"/>
      <c r="J18" s="265"/>
    </row>
    <row r="19" spans="2:10" x14ac:dyDescent="0.25">
      <c r="B19" s="14" t="s">
        <v>1</v>
      </c>
      <c r="C19" s="14" t="s">
        <v>6</v>
      </c>
      <c r="D19" s="14" t="s">
        <v>1</v>
      </c>
      <c r="E19" s="14" t="s">
        <v>6</v>
      </c>
      <c r="F19" s="13"/>
      <c r="G19" s="13"/>
      <c r="H19" s="264"/>
      <c r="I19" s="285"/>
      <c r="J19" s="265"/>
    </row>
    <row r="20" spans="2:10" x14ac:dyDescent="0.25">
      <c r="B20" s="12" t="s">
        <v>8</v>
      </c>
      <c r="C20" s="12" t="s">
        <v>103</v>
      </c>
      <c r="D20" s="12" t="s">
        <v>9</v>
      </c>
      <c r="E20" s="12" t="s">
        <v>103</v>
      </c>
      <c r="F20" s="13">
        <v>10</v>
      </c>
      <c r="G20" s="13">
        <v>10</v>
      </c>
      <c r="H20" s="264"/>
      <c r="I20" s="285"/>
      <c r="J20" s="265"/>
    </row>
    <row r="21" spans="2:10" x14ac:dyDescent="0.25">
      <c r="B21" s="14" t="s">
        <v>12</v>
      </c>
      <c r="C21" s="14">
        <f>SUM(C20:C20)</f>
        <v>0</v>
      </c>
      <c r="D21" s="14" t="s">
        <v>13</v>
      </c>
      <c r="E21" s="14">
        <v>0</v>
      </c>
      <c r="F21" s="17">
        <f>SUM(F19:F20)</f>
        <v>10</v>
      </c>
      <c r="G21" s="17">
        <f>SUM(G19:G20)</f>
        <v>10</v>
      </c>
      <c r="H21" s="266"/>
      <c r="I21" s="286"/>
      <c r="J21" s="267"/>
    </row>
    <row r="23" spans="2:10" x14ac:dyDescent="0.25">
      <c r="B23" s="255" t="s">
        <v>30</v>
      </c>
      <c r="C23" s="255"/>
      <c r="D23" s="255"/>
      <c r="E23" s="255"/>
      <c r="F23" s="260" t="s">
        <v>81</v>
      </c>
      <c r="G23" s="261"/>
      <c r="H23" s="207"/>
      <c r="I23" s="207"/>
      <c r="J23" s="207"/>
    </row>
    <row r="24" spans="2:10" x14ac:dyDescent="0.25">
      <c r="B24" s="256" t="s">
        <v>0</v>
      </c>
      <c r="C24" s="256"/>
      <c r="D24" s="256" t="s">
        <v>7</v>
      </c>
      <c r="E24" s="256"/>
      <c r="F24" s="18" t="s">
        <v>68</v>
      </c>
      <c r="G24" s="18" t="s">
        <v>69</v>
      </c>
      <c r="H24" s="207"/>
      <c r="I24" s="207"/>
      <c r="J24" s="207"/>
    </row>
    <row r="25" spans="2:10" x14ac:dyDescent="0.25">
      <c r="B25" s="14" t="s">
        <v>1</v>
      </c>
      <c r="C25" s="14" t="s">
        <v>6</v>
      </c>
      <c r="D25" s="14" t="s">
        <v>1</v>
      </c>
      <c r="E25" s="14" t="s">
        <v>6</v>
      </c>
      <c r="F25" s="25"/>
      <c r="G25" s="25"/>
      <c r="H25" s="207"/>
      <c r="I25" s="207"/>
      <c r="J25" s="207"/>
    </row>
    <row r="26" spans="2:10" x14ac:dyDescent="0.25">
      <c r="B26" s="12" t="s">
        <v>10</v>
      </c>
      <c r="C26" s="19" t="s">
        <v>115</v>
      </c>
      <c r="D26" s="12" t="s">
        <v>16</v>
      </c>
      <c r="E26" s="12" t="s">
        <v>28</v>
      </c>
      <c r="F26" s="25">
        <v>18</v>
      </c>
      <c r="G26" s="25">
        <v>128</v>
      </c>
      <c r="H26" s="207"/>
      <c r="I26" s="207"/>
      <c r="J26" s="207"/>
    </row>
    <row r="27" spans="2:10" x14ac:dyDescent="0.25">
      <c r="B27" s="12" t="s">
        <v>15</v>
      </c>
      <c r="C27" s="12" t="s">
        <v>105</v>
      </c>
      <c r="D27" s="12"/>
      <c r="E27" s="12"/>
      <c r="F27" s="25">
        <v>110</v>
      </c>
      <c r="G27" s="25"/>
      <c r="H27" s="207"/>
      <c r="I27" s="207"/>
      <c r="J27" s="207"/>
    </row>
    <row r="28" spans="2:10" x14ac:dyDescent="0.25">
      <c r="B28" s="14" t="s">
        <v>12</v>
      </c>
      <c r="C28" s="14">
        <f>SUM(C26:C26)</f>
        <v>0</v>
      </c>
      <c r="D28" s="14" t="s">
        <v>13</v>
      </c>
      <c r="E28" s="14">
        <v>0</v>
      </c>
      <c r="F28" s="16">
        <f>F27+F26</f>
        <v>128</v>
      </c>
      <c r="G28" s="16">
        <f>G27+G26</f>
        <v>128</v>
      </c>
      <c r="H28" s="207"/>
      <c r="I28" s="207"/>
      <c r="J28" s="207"/>
    </row>
    <row r="29" spans="2:10" x14ac:dyDescent="0.25">
      <c r="B29" s="20"/>
      <c r="C29" s="20"/>
      <c r="D29" s="20"/>
      <c r="E29" s="20"/>
      <c r="F29" s="20"/>
      <c r="G29" s="20"/>
    </row>
    <row r="30" spans="2:10" x14ac:dyDescent="0.25">
      <c r="B30" s="255" t="s">
        <v>31</v>
      </c>
      <c r="C30" s="255"/>
      <c r="D30" s="255"/>
      <c r="E30" s="255"/>
      <c r="F30" s="260" t="s">
        <v>81</v>
      </c>
      <c r="G30" s="261"/>
      <c r="H30" s="207"/>
      <c r="I30" s="207"/>
    </row>
    <row r="31" spans="2:10" x14ac:dyDescent="0.25">
      <c r="B31" s="256" t="s">
        <v>0</v>
      </c>
      <c r="C31" s="256"/>
      <c r="D31" s="256" t="s">
        <v>7</v>
      </c>
      <c r="E31" s="256"/>
      <c r="F31" s="18" t="s">
        <v>68</v>
      </c>
      <c r="G31" s="18" t="s">
        <v>69</v>
      </c>
      <c r="H31" s="207"/>
      <c r="I31" s="207"/>
    </row>
    <row r="32" spans="2:10" x14ac:dyDescent="0.25">
      <c r="B32" s="14" t="s">
        <v>1</v>
      </c>
      <c r="C32" s="14" t="s">
        <v>6</v>
      </c>
      <c r="D32" s="14" t="s">
        <v>1</v>
      </c>
      <c r="E32" s="14" t="s">
        <v>6</v>
      </c>
      <c r="F32" s="12"/>
      <c r="G32" s="12"/>
      <c r="H32" s="207"/>
      <c r="I32" s="207"/>
    </row>
    <row r="33" spans="2:10" x14ac:dyDescent="0.25">
      <c r="B33" s="12" t="s">
        <v>16</v>
      </c>
      <c r="C33" s="12" t="s">
        <v>28</v>
      </c>
      <c r="D33" s="12" t="s">
        <v>18</v>
      </c>
      <c r="E33" s="26" t="s">
        <v>70</v>
      </c>
      <c r="F33" s="12">
        <v>128</v>
      </c>
      <c r="G33" s="12">
        <v>5.0000000000000001E-3</v>
      </c>
      <c r="H33" s="207"/>
      <c r="I33" s="207"/>
    </row>
    <row r="34" spans="2:10" x14ac:dyDescent="0.25">
      <c r="B34" s="12"/>
      <c r="C34" s="12"/>
      <c r="D34" s="12" t="s">
        <v>32</v>
      </c>
      <c r="E34" s="12" t="s">
        <v>34</v>
      </c>
      <c r="F34" s="12"/>
      <c r="G34" s="12">
        <f>(F33/2)-G33</f>
        <v>63.994999999999997</v>
      </c>
      <c r="H34" s="207"/>
      <c r="I34" s="207"/>
    </row>
    <row r="35" spans="2:10" x14ac:dyDescent="0.25">
      <c r="B35" s="12"/>
      <c r="C35" s="12"/>
      <c r="D35" s="12" t="s">
        <v>33</v>
      </c>
      <c r="E35" s="12" t="s">
        <v>34</v>
      </c>
      <c r="F35" s="12"/>
      <c r="G35" s="12">
        <v>63.994999999999997</v>
      </c>
      <c r="H35" s="207"/>
      <c r="I35" s="207"/>
    </row>
    <row r="36" spans="2:10" x14ac:dyDescent="0.25">
      <c r="B36" s="14" t="s">
        <v>12</v>
      </c>
      <c r="C36" s="14">
        <f>SUM(C33:C33)</f>
        <v>0</v>
      </c>
      <c r="D36" s="14" t="s">
        <v>13</v>
      </c>
      <c r="E36" s="14">
        <v>0</v>
      </c>
      <c r="F36" s="16">
        <f>SUM(F33:F35)</f>
        <v>128</v>
      </c>
      <c r="G36" s="16">
        <f>+G35+G34+G33</f>
        <v>127.99499999999999</v>
      </c>
      <c r="H36" s="207"/>
      <c r="I36" s="207"/>
    </row>
    <row r="37" spans="2:10" x14ac:dyDescent="0.25">
      <c r="B37" s="20"/>
      <c r="C37" s="20"/>
      <c r="D37" s="20"/>
      <c r="E37" s="20"/>
      <c r="F37" s="20"/>
      <c r="G37" s="20"/>
    </row>
    <row r="38" spans="2:10" x14ac:dyDescent="0.25">
      <c r="B38" s="255" t="s">
        <v>35</v>
      </c>
      <c r="C38" s="255"/>
      <c r="D38" s="255"/>
      <c r="E38" s="255"/>
      <c r="F38" s="260" t="s">
        <v>81</v>
      </c>
      <c r="G38" s="261"/>
      <c r="H38" s="207"/>
      <c r="I38" s="207"/>
      <c r="J38" s="207"/>
    </row>
    <row r="39" spans="2:10" x14ac:dyDescent="0.25">
      <c r="B39" s="256" t="s">
        <v>0</v>
      </c>
      <c r="C39" s="256"/>
      <c r="D39" s="256" t="s">
        <v>7</v>
      </c>
      <c r="E39" s="256"/>
      <c r="F39" s="18" t="s">
        <v>68</v>
      </c>
      <c r="G39" s="18" t="s">
        <v>69</v>
      </c>
      <c r="H39" s="207"/>
      <c r="I39" s="207"/>
      <c r="J39" s="207"/>
    </row>
    <row r="40" spans="2:10" x14ac:dyDescent="0.25">
      <c r="B40" s="14" t="s">
        <v>1</v>
      </c>
      <c r="C40" s="14" t="s">
        <v>6</v>
      </c>
      <c r="D40" s="14" t="s">
        <v>1</v>
      </c>
      <c r="E40" s="14" t="s">
        <v>6</v>
      </c>
      <c r="F40" s="12"/>
      <c r="G40" s="12"/>
      <c r="H40" s="207"/>
      <c r="I40" s="207"/>
      <c r="J40" s="207"/>
    </row>
    <row r="41" spans="2:10" x14ac:dyDescent="0.25">
      <c r="B41" s="12" t="s">
        <v>32</v>
      </c>
      <c r="C41" s="12" t="s">
        <v>34</v>
      </c>
      <c r="D41" s="12" t="s">
        <v>36</v>
      </c>
      <c r="E41" s="12">
        <v>8.9999999999999993E-3</v>
      </c>
      <c r="F41" s="12">
        <f>+G34</f>
        <v>63.994999999999997</v>
      </c>
      <c r="G41" s="12">
        <v>8.9999999999999993E-3</v>
      </c>
      <c r="H41" s="207"/>
      <c r="I41" s="207"/>
      <c r="J41" s="207"/>
    </row>
    <row r="42" spans="2:10" x14ac:dyDescent="0.25">
      <c r="B42" s="12"/>
      <c r="C42" s="12"/>
      <c r="D42" s="12" t="s">
        <v>37</v>
      </c>
      <c r="E42" s="12">
        <v>0</v>
      </c>
      <c r="F42" s="12"/>
      <c r="G42" s="12">
        <v>0</v>
      </c>
      <c r="H42" s="207"/>
      <c r="I42" s="207"/>
      <c r="J42" s="207"/>
    </row>
    <row r="43" spans="2:10" x14ac:dyDescent="0.25">
      <c r="B43" s="12"/>
      <c r="C43" s="12"/>
      <c r="D43" s="12" t="s">
        <v>71</v>
      </c>
      <c r="E43" s="12" t="s">
        <v>34</v>
      </c>
      <c r="F43" s="12"/>
      <c r="G43" s="12">
        <f>F41-G41-G42</f>
        <v>63.985999999999997</v>
      </c>
      <c r="H43" s="207"/>
      <c r="I43" s="207"/>
      <c r="J43" s="207"/>
    </row>
    <row r="44" spans="2:10" x14ac:dyDescent="0.25">
      <c r="B44" s="14" t="s">
        <v>12</v>
      </c>
      <c r="C44" s="14">
        <f>SUM(C41:C41)</f>
        <v>0</v>
      </c>
      <c r="D44" s="14" t="s">
        <v>13</v>
      </c>
      <c r="E44" s="14">
        <v>0</v>
      </c>
      <c r="F44" s="16">
        <f>SUM(F41:F43)</f>
        <v>63.994999999999997</v>
      </c>
      <c r="G44" s="16">
        <f>SUM(G41:G43)</f>
        <v>63.994999999999997</v>
      </c>
      <c r="H44" s="207"/>
      <c r="I44" s="207"/>
      <c r="J44" s="207"/>
    </row>
    <row r="45" spans="2:10" x14ac:dyDescent="0.25">
      <c r="B45" s="20"/>
      <c r="C45" s="20"/>
      <c r="D45" s="20"/>
      <c r="E45" s="20"/>
      <c r="F45" s="20"/>
      <c r="G45" s="20"/>
    </row>
    <row r="46" spans="2:10" x14ac:dyDescent="0.25">
      <c r="B46" s="255" t="s">
        <v>39</v>
      </c>
      <c r="C46" s="255"/>
      <c r="D46" s="255"/>
      <c r="E46" s="255"/>
      <c r="F46" s="260" t="s">
        <v>81</v>
      </c>
      <c r="G46" s="261"/>
      <c r="H46" s="207"/>
      <c r="I46" s="207"/>
      <c r="J46" s="207"/>
    </row>
    <row r="47" spans="2:10" x14ac:dyDescent="0.25">
      <c r="B47" s="256" t="s">
        <v>0</v>
      </c>
      <c r="C47" s="256"/>
      <c r="D47" s="256" t="s">
        <v>7</v>
      </c>
      <c r="E47" s="256"/>
      <c r="F47" s="18" t="s">
        <v>68</v>
      </c>
      <c r="G47" s="18" t="s">
        <v>69</v>
      </c>
      <c r="H47" s="207"/>
      <c r="I47" s="207"/>
      <c r="J47" s="207"/>
    </row>
    <row r="48" spans="2:10" x14ac:dyDescent="0.25">
      <c r="B48" s="14" t="s">
        <v>1</v>
      </c>
      <c r="C48" s="14" t="s">
        <v>6</v>
      </c>
      <c r="D48" s="14" t="s">
        <v>1</v>
      </c>
      <c r="E48" s="14" t="s">
        <v>6</v>
      </c>
      <c r="F48" s="14"/>
      <c r="G48" s="14"/>
      <c r="H48" s="207"/>
      <c r="I48" s="207"/>
      <c r="J48" s="207"/>
    </row>
    <row r="49" spans="2:12" x14ac:dyDescent="0.25">
      <c r="B49" s="12" t="s">
        <v>33</v>
      </c>
      <c r="C49" s="12" t="s">
        <v>34</v>
      </c>
      <c r="D49" s="12" t="s">
        <v>40</v>
      </c>
      <c r="E49" s="12">
        <v>8.9999999999999993E-3</v>
      </c>
      <c r="F49" s="12">
        <f>G35</f>
        <v>63.994999999999997</v>
      </c>
      <c r="G49" s="12">
        <v>8.9999999999999993E-3</v>
      </c>
      <c r="H49" s="207"/>
      <c r="I49" s="207"/>
      <c r="J49" s="207"/>
    </row>
    <row r="50" spans="2:12" x14ac:dyDescent="0.25">
      <c r="B50" s="12"/>
      <c r="C50" s="12"/>
      <c r="D50" s="12" t="s">
        <v>41</v>
      </c>
      <c r="E50" s="12">
        <v>1</v>
      </c>
      <c r="F50" s="12"/>
      <c r="G50" s="12">
        <v>0</v>
      </c>
      <c r="H50" s="207"/>
      <c r="I50" s="207"/>
      <c r="J50" s="207"/>
    </row>
    <row r="51" spans="2:12" x14ac:dyDescent="0.25">
      <c r="B51" s="12"/>
      <c r="C51" s="12"/>
      <c r="D51" s="12" t="s">
        <v>72</v>
      </c>
      <c r="E51" s="12" t="s">
        <v>34</v>
      </c>
      <c r="F51" s="12"/>
      <c r="G51" s="12">
        <f>+F49-G49-G50</f>
        <v>63.985999999999997</v>
      </c>
      <c r="H51" s="207"/>
      <c r="I51" s="207"/>
      <c r="J51" s="207"/>
    </row>
    <row r="52" spans="2:12" x14ac:dyDescent="0.25">
      <c r="B52" s="14" t="s">
        <v>12</v>
      </c>
      <c r="C52" s="14">
        <f>SUM(C49:C49)</f>
        <v>0</v>
      </c>
      <c r="D52" s="14" t="s">
        <v>13</v>
      </c>
      <c r="E52" s="14">
        <v>0</v>
      </c>
      <c r="F52" s="16">
        <f>+F49</f>
        <v>63.994999999999997</v>
      </c>
      <c r="G52" s="16">
        <f>+G51+G49</f>
        <v>63.994999999999997</v>
      </c>
      <c r="H52" s="207"/>
      <c r="I52" s="207"/>
      <c r="J52" s="207"/>
    </row>
    <row r="53" spans="2:12" x14ac:dyDescent="0.25">
      <c r="B53" s="20"/>
      <c r="C53" s="20"/>
      <c r="D53" s="20"/>
      <c r="E53" s="20"/>
      <c r="F53" s="20"/>
      <c r="G53" s="20"/>
    </row>
    <row r="54" spans="2:12" x14ac:dyDescent="0.25">
      <c r="B54" s="260" t="s">
        <v>43</v>
      </c>
      <c r="C54" s="268"/>
      <c r="D54" s="268"/>
      <c r="E54" s="261"/>
      <c r="F54" s="260" t="s">
        <v>81</v>
      </c>
      <c r="G54" s="261"/>
      <c r="H54" s="207"/>
      <c r="I54" s="207"/>
      <c r="J54" s="207"/>
    </row>
    <row r="55" spans="2:12" s="11" customFormat="1" ht="15.75" customHeight="1" x14ac:dyDescent="0.25">
      <c r="B55" s="256" t="s">
        <v>0</v>
      </c>
      <c r="C55" s="256"/>
      <c r="D55" s="256" t="s">
        <v>7</v>
      </c>
      <c r="E55" s="256"/>
      <c r="F55" s="18" t="s">
        <v>68</v>
      </c>
      <c r="G55" s="18" t="s">
        <v>69</v>
      </c>
      <c r="H55" s="207"/>
      <c r="I55" s="207"/>
      <c r="J55" s="207"/>
      <c r="K55" s="2"/>
      <c r="L55" s="2"/>
    </row>
    <row r="56" spans="2:12" x14ac:dyDescent="0.25">
      <c r="B56" s="14" t="s">
        <v>1</v>
      </c>
      <c r="C56" s="14" t="s">
        <v>6</v>
      </c>
      <c r="D56" s="14" t="s">
        <v>1</v>
      </c>
      <c r="E56" s="14" t="s">
        <v>6</v>
      </c>
      <c r="F56" s="14"/>
      <c r="G56" s="14"/>
      <c r="H56" s="207"/>
      <c r="I56" s="207"/>
      <c r="J56" s="207"/>
    </row>
    <row r="57" spans="2:12" x14ac:dyDescent="0.25">
      <c r="B57" s="12" t="s">
        <v>38</v>
      </c>
      <c r="C57" s="12" t="s">
        <v>34</v>
      </c>
      <c r="D57" s="12" t="s">
        <v>20</v>
      </c>
      <c r="E57" s="12" t="s">
        <v>116</v>
      </c>
      <c r="F57" s="12">
        <f>+G51</f>
        <v>63.985999999999997</v>
      </c>
      <c r="G57" s="12">
        <f>+F59</f>
        <v>127.97199999999999</v>
      </c>
      <c r="H57" s="207"/>
      <c r="I57" s="207"/>
      <c r="J57" s="207"/>
    </row>
    <row r="58" spans="2:12" x14ac:dyDescent="0.25">
      <c r="B58" s="12" t="s">
        <v>42</v>
      </c>
      <c r="C58" s="12" t="s">
        <v>34</v>
      </c>
      <c r="D58" s="12" t="s">
        <v>73</v>
      </c>
      <c r="E58" s="12"/>
      <c r="F58" s="21">
        <f>+G43</f>
        <v>63.985999999999997</v>
      </c>
      <c r="G58" s="21">
        <v>0</v>
      </c>
      <c r="H58" s="207"/>
      <c r="I58" s="207"/>
      <c r="J58" s="207"/>
    </row>
    <row r="59" spans="2:12" x14ac:dyDescent="0.25">
      <c r="B59" s="14" t="s">
        <v>12</v>
      </c>
      <c r="C59" s="14">
        <f>SUM(C58:C58)</f>
        <v>0</v>
      </c>
      <c r="D59" s="14" t="s">
        <v>13</v>
      </c>
      <c r="E59" s="14">
        <v>0</v>
      </c>
      <c r="F59" s="16">
        <f>SUM(F57:F58)</f>
        <v>127.97199999999999</v>
      </c>
      <c r="G59" s="16">
        <f>SUM(G57:G58)</f>
        <v>127.97199999999999</v>
      </c>
      <c r="H59" s="207"/>
      <c r="I59" s="207"/>
      <c r="J59" s="207"/>
    </row>
    <row r="61" spans="2:12" x14ac:dyDescent="0.25">
      <c r="B61" s="260" t="s">
        <v>44</v>
      </c>
      <c r="C61" s="268"/>
      <c r="D61" s="268"/>
      <c r="E61" s="261"/>
      <c r="F61" s="260" t="s">
        <v>81</v>
      </c>
      <c r="G61" s="261"/>
      <c r="H61" s="207"/>
      <c r="I61" s="207"/>
      <c r="J61" s="207"/>
    </row>
    <row r="62" spans="2:12" x14ac:dyDescent="0.25">
      <c r="B62" s="256" t="s">
        <v>0</v>
      </c>
      <c r="C62" s="256"/>
      <c r="D62" s="256" t="s">
        <v>7</v>
      </c>
      <c r="E62" s="256"/>
      <c r="F62" s="18" t="s">
        <v>75</v>
      </c>
      <c r="G62" s="18" t="s">
        <v>76</v>
      </c>
      <c r="H62" s="207"/>
      <c r="I62" s="207"/>
      <c r="J62" s="207"/>
    </row>
    <row r="63" spans="2:12" x14ac:dyDescent="0.25">
      <c r="B63" s="14" t="s">
        <v>1</v>
      </c>
      <c r="C63" s="14" t="s">
        <v>6</v>
      </c>
      <c r="D63" s="14" t="s">
        <v>1</v>
      </c>
      <c r="E63" s="14" t="s">
        <v>6</v>
      </c>
      <c r="F63" s="14"/>
      <c r="G63" s="14"/>
      <c r="H63" s="207"/>
      <c r="I63" s="207"/>
      <c r="J63" s="207"/>
    </row>
    <row r="64" spans="2:12" x14ac:dyDescent="0.25">
      <c r="B64" s="12" t="s">
        <v>20</v>
      </c>
      <c r="C64" s="12" t="s">
        <v>116</v>
      </c>
      <c r="D64" s="12" t="s">
        <v>22</v>
      </c>
      <c r="E64" s="12" t="s">
        <v>74</v>
      </c>
      <c r="F64" s="12">
        <f>+G57</f>
        <v>127.97199999999999</v>
      </c>
      <c r="G64" s="12">
        <f>AVERAGE(0.003,0.006)</f>
        <v>4.5000000000000005E-3</v>
      </c>
      <c r="H64" s="207"/>
      <c r="I64" s="207"/>
      <c r="J64" s="207"/>
    </row>
    <row r="65" spans="2:10" x14ac:dyDescent="0.25">
      <c r="B65" s="12"/>
      <c r="C65" s="54"/>
      <c r="D65" s="12" t="s">
        <v>25</v>
      </c>
      <c r="E65" s="12" t="s">
        <v>116</v>
      </c>
      <c r="F65" s="12"/>
      <c r="G65" s="12">
        <f>+F64-G64</f>
        <v>127.9675</v>
      </c>
      <c r="H65" s="207"/>
      <c r="I65" s="207"/>
      <c r="J65" s="207"/>
    </row>
    <row r="66" spans="2:10" x14ac:dyDescent="0.25">
      <c r="B66" s="14" t="s">
        <v>12</v>
      </c>
      <c r="C66" s="14">
        <v>0</v>
      </c>
      <c r="D66" s="14" t="s">
        <v>13</v>
      </c>
      <c r="E66" s="14">
        <v>0</v>
      </c>
      <c r="F66" s="16">
        <f>SUM(F63:F65)</f>
        <v>127.97199999999999</v>
      </c>
      <c r="G66" s="16">
        <f>+G65+G64</f>
        <v>127.97199999999999</v>
      </c>
      <c r="H66" s="207"/>
      <c r="I66" s="207"/>
      <c r="J66" s="207"/>
    </row>
    <row r="67" spans="2:10" x14ac:dyDescent="0.25">
      <c r="B67" s="20"/>
      <c r="C67" s="20"/>
      <c r="D67" s="20"/>
      <c r="E67" s="20"/>
      <c r="F67" s="20"/>
      <c r="G67" s="20"/>
    </row>
    <row r="68" spans="2:10" x14ac:dyDescent="0.25">
      <c r="B68" s="260" t="s">
        <v>45</v>
      </c>
      <c r="C68" s="268"/>
      <c r="D68" s="268"/>
      <c r="E68" s="261"/>
      <c r="F68" s="260" t="s">
        <v>81</v>
      </c>
      <c r="G68" s="261"/>
      <c r="H68" s="207"/>
      <c r="I68" s="207"/>
      <c r="J68" s="207"/>
    </row>
    <row r="69" spans="2:10" x14ac:dyDescent="0.25">
      <c r="B69" s="256" t="s">
        <v>0</v>
      </c>
      <c r="C69" s="256"/>
      <c r="D69" s="256" t="s">
        <v>7</v>
      </c>
      <c r="E69" s="256"/>
      <c r="F69" s="18" t="s">
        <v>68</v>
      </c>
      <c r="G69" s="18" t="s">
        <v>69</v>
      </c>
      <c r="H69" s="207"/>
      <c r="I69" s="207"/>
      <c r="J69" s="207"/>
    </row>
    <row r="70" spans="2:10" x14ac:dyDescent="0.25">
      <c r="B70" s="14" t="s">
        <v>1</v>
      </c>
      <c r="C70" s="14" t="s">
        <v>6</v>
      </c>
      <c r="D70" s="14" t="s">
        <v>1</v>
      </c>
      <c r="E70" s="14" t="s">
        <v>6</v>
      </c>
      <c r="F70" s="14"/>
      <c r="G70" s="14"/>
      <c r="H70" s="207"/>
      <c r="I70" s="207"/>
      <c r="J70" s="207"/>
    </row>
    <row r="71" spans="2:10" x14ac:dyDescent="0.25">
      <c r="B71" s="12" t="s">
        <v>46</v>
      </c>
      <c r="C71" s="12">
        <v>0</v>
      </c>
      <c r="D71" s="12" t="s">
        <v>78</v>
      </c>
      <c r="E71" s="12" t="s">
        <v>106</v>
      </c>
      <c r="F71" s="12">
        <v>0</v>
      </c>
      <c r="G71" s="12">
        <v>5</v>
      </c>
      <c r="H71" s="207"/>
      <c r="I71" s="207"/>
      <c r="J71" s="207"/>
    </row>
    <row r="72" spans="2:10" x14ac:dyDescent="0.25">
      <c r="B72" s="12" t="s">
        <v>73</v>
      </c>
      <c r="C72" s="12">
        <v>0</v>
      </c>
      <c r="D72" s="12"/>
      <c r="E72" s="12"/>
      <c r="F72" s="12">
        <v>0</v>
      </c>
      <c r="G72" s="12"/>
      <c r="H72" s="207"/>
      <c r="I72" s="207"/>
      <c r="J72" s="207"/>
    </row>
    <row r="73" spans="2:10" x14ac:dyDescent="0.25">
      <c r="B73" s="12" t="s">
        <v>48</v>
      </c>
      <c r="C73" s="12">
        <v>0</v>
      </c>
      <c r="D73" s="12"/>
      <c r="E73" s="12"/>
      <c r="F73" s="12">
        <v>0</v>
      </c>
      <c r="G73" s="12"/>
      <c r="H73" s="207"/>
      <c r="I73" s="207"/>
      <c r="J73" s="207"/>
    </row>
    <row r="74" spans="2:10" x14ac:dyDescent="0.25">
      <c r="B74" s="12" t="s">
        <v>47</v>
      </c>
      <c r="C74" s="12">
        <v>5</v>
      </c>
      <c r="D74" s="12"/>
      <c r="E74" s="12"/>
      <c r="F74" s="12">
        <v>5</v>
      </c>
      <c r="G74" s="12"/>
      <c r="H74" s="207"/>
      <c r="I74" s="207"/>
      <c r="J74" s="207"/>
    </row>
    <row r="75" spans="2:10" x14ac:dyDescent="0.25">
      <c r="B75" s="14" t="s">
        <v>12</v>
      </c>
      <c r="C75" s="14">
        <v>0</v>
      </c>
      <c r="D75" s="14" t="s">
        <v>13</v>
      </c>
      <c r="E75" s="14">
        <v>0</v>
      </c>
      <c r="F75" s="16">
        <f>SUM(F71:F74)</f>
        <v>5</v>
      </c>
      <c r="G75" s="16">
        <f>SUM(G71:G74)</f>
        <v>5</v>
      </c>
      <c r="H75" s="207"/>
      <c r="I75" s="207"/>
      <c r="J75" s="207"/>
    </row>
    <row r="76" spans="2:10" x14ac:dyDescent="0.25">
      <c r="B76" s="20"/>
      <c r="C76" s="20"/>
      <c r="D76" s="20"/>
      <c r="E76" s="20"/>
      <c r="F76" s="20"/>
      <c r="G76" s="20"/>
    </row>
    <row r="78" spans="2:10" x14ac:dyDescent="0.25">
      <c r="B78" s="255" t="s">
        <v>14</v>
      </c>
      <c r="C78" s="255"/>
      <c r="D78" s="255"/>
      <c r="E78" s="260"/>
      <c r="F78" s="260" t="s">
        <v>81</v>
      </c>
      <c r="G78" s="261"/>
      <c r="H78" s="207"/>
      <c r="I78" s="207"/>
      <c r="J78" s="207"/>
    </row>
    <row r="79" spans="2:10" x14ac:dyDescent="0.25">
      <c r="B79" s="256" t="s">
        <v>0</v>
      </c>
      <c r="C79" s="256"/>
      <c r="D79" s="256" t="s">
        <v>7</v>
      </c>
      <c r="E79" s="259"/>
      <c r="F79" s="18" t="s">
        <v>68</v>
      </c>
      <c r="G79" s="18" t="s">
        <v>69</v>
      </c>
      <c r="H79" s="207"/>
      <c r="I79" s="207"/>
      <c r="J79" s="207"/>
    </row>
    <row r="80" spans="2:10" x14ac:dyDescent="0.25">
      <c r="B80" s="14" t="s">
        <v>1</v>
      </c>
      <c r="C80" s="14" t="s">
        <v>6</v>
      </c>
      <c r="D80" s="14" t="s">
        <v>1</v>
      </c>
      <c r="E80" s="15" t="s">
        <v>6</v>
      </c>
      <c r="F80" s="14"/>
      <c r="G80" s="14"/>
      <c r="H80" s="207"/>
      <c r="I80" s="207"/>
      <c r="J80" s="207"/>
    </row>
    <row r="81" spans="2:10" x14ac:dyDescent="0.25">
      <c r="B81" s="12" t="s">
        <v>25</v>
      </c>
      <c r="C81" s="12" t="s">
        <v>116</v>
      </c>
      <c r="D81" s="12" t="s">
        <v>52</v>
      </c>
      <c r="E81" s="13">
        <v>80</v>
      </c>
      <c r="F81" s="12">
        <f>+G65</f>
        <v>127.9675</v>
      </c>
      <c r="G81" s="13">
        <v>0</v>
      </c>
      <c r="H81" s="207"/>
      <c r="I81" s="207"/>
      <c r="J81" s="207"/>
    </row>
    <row r="82" spans="2:10" x14ac:dyDescent="0.25">
      <c r="B82" s="12" t="s">
        <v>49</v>
      </c>
      <c r="C82" s="28" t="s">
        <v>106</v>
      </c>
      <c r="D82" s="12" t="s">
        <v>108</v>
      </c>
      <c r="E82" s="13">
        <v>160</v>
      </c>
      <c r="F82" s="28">
        <v>5</v>
      </c>
      <c r="G82" s="29">
        <f>+F81+F82+F83+F86</f>
        <v>211.9675</v>
      </c>
      <c r="H82" s="207"/>
      <c r="I82" s="207"/>
      <c r="J82" s="207"/>
    </row>
    <row r="83" spans="2:10" x14ac:dyDescent="0.25">
      <c r="B83" s="12" t="s">
        <v>23</v>
      </c>
      <c r="C83" s="28" t="s">
        <v>107</v>
      </c>
      <c r="D83" s="12" t="s">
        <v>109</v>
      </c>
      <c r="E83" s="13" t="s">
        <v>110</v>
      </c>
      <c r="F83" s="28">
        <v>9</v>
      </c>
      <c r="G83" s="30">
        <f>+G82-F86</f>
        <v>141.9675</v>
      </c>
      <c r="H83" s="207"/>
      <c r="I83" s="207"/>
      <c r="J83" s="207"/>
    </row>
    <row r="84" spans="2:10" x14ac:dyDescent="0.25">
      <c r="B84" s="12" t="s">
        <v>50</v>
      </c>
      <c r="C84" s="12" t="s">
        <v>11</v>
      </c>
      <c r="D84" s="12"/>
      <c r="E84" s="13"/>
      <c r="F84" s="12" t="s">
        <v>17</v>
      </c>
      <c r="G84" s="13"/>
      <c r="H84" s="207"/>
      <c r="I84" s="207"/>
      <c r="J84" s="207"/>
    </row>
    <row r="85" spans="2:10" x14ac:dyDescent="0.25">
      <c r="B85" s="12" t="s">
        <v>51</v>
      </c>
      <c r="C85" s="12" t="s">
        <v>11</v>
      </c>
      <c r="D85" s="12"/>
      <c r="E85" s="13"/>
      <c r="F85" s="12" t="s">
        <v>17</v>
      </c>
      <c r="G85" s="13"/>
      <c r="H85" s="207"/>
      <c r="I85" s="207"/>
      <c r="J85" s="207"/>
    </row>
    <row r="86" spans="2:10" x14ac:dyDescent="0.25">
      <c r="B86" s="12" t="s">
        <v>53</v>
      </c>
      <c r="C86" s="12" t="s">
        <v>111</v>
      </c>
      <c r="D86" s="12"/>
      <c r="E86" s="13"/>
      <c r="F86" s="12">
        <v>70</v>
      </c>
      <c r="G86" s="13"/>
      <c r="H86" s="207"/>
      <c r="I86" s="207"/>
      <c r="J86" s="207"/>
    </row>
    <row r="87" spans="2:10" x14ac:dyDescent="0.25">
      <c r="B87" s="14" t="s">
        <v>12</v>
      </c>
      <c r="C87" s="14">
        <f>SUM(C81:C83)</f>
        <v>0</v>
      </c>
      <c r="D87" s="14" t="s">
        <v>13</v>
      </c>
      <c r="E87" s="15">
        <f>SUM(E81:E83)</f>
        <v>240</v>
      </c>
      <c r="F87" s="14">
        <f>F81+F82+F83</f>
        <v>141.9675</v>
      </c>
      <c r="G87" s="15">
        <f>+G83</f>
        <v>141.9675</v>
      </c>
      <c r="H87" s="207"/>
      <c r="I87" s="207"/>
      <c r="J87" s="207"/>
    </row>
    <row r="88" spans="2:10" x14ac:dyDescent="0.25">
      <c r="B88" s="20"/>
      <c r="C88" s="20"/>
      <c r="D88" s="20"/>
      <c r="E88" s="20"/>
      <c r="F88" s="20"/>
      <c r="G88" s="20"/>
      <c r="H88" s="22"/>
      <c r="I88" s="22"/>
      <c r="J88" s="22"/>
    </row>
    <row r="89" spans="2:10" x14ac:dyDescent="0.25">
      <c r="B89" s="260" t="s">
        <v>19</v>
      </c>
      <c r="C89" s="268"/>
      <c r="D89" s="268"/>
      <c r="E89" s="261"/>
      <c r="F89" s="260" t="s">
        <v>81</v>
      </c>
      <c r="G89" s="261"/>
      <c r="H89" s="207" t="e" vm="1">
        <v>#VALUE!</v>
      </c>
      <c r="I89" s="207"/>
      <c r="J89" s="207"/>
    </row>
    <row r="90" spans="2:10" x14ac:dyDescent="0.25">
      <c r="B90" s="256" t="s">
        <v>0</v>
      </c>
      <c r="C90" s="256"/>
      <c r="D90" s="256" t="s">
        <v>7</v>
      </c>
      <c r="E90" s="256"/>
      <c r="F90" s="18" t="s">
        <v>68</v>
      </c>
      <c r="G90" s="18" t="s">
        <v>69</v>
      </c>
      <c r="H90" s="207"/>
      <c r="I90" s="207"/>
      <c r="J90" s="207"/>
    </row>
    <row r="91" spans="2:10" x14ac:dyDescent="0.25">
      <c r="B91" s="14" t="s">
        <v>1</v>
      </c>
      <c r="C91" s="14" t="s">
        <v>6</v>
      </c>
      <c r="D91" s="14" t="s">
        <v>1</v>
      </c>
      <c r="E91" s="14" t="s">
        <v>6</v>
      </c>
      <c r="F91" s="14"/>
      <c r="G91" s="14"/>
      <c r="H91" s="207"/>
      <c r="I91" s="207"/>
      <c r="J91" s="207"/>
    </row>
    <row r="92" spans="2:10" x14ac:dyDescent="0.25">
      <c r="B92" s="12" t="s">
        <v>79</v>
      </c>
      <c r="C92" s="13" t="s">
        <v>110</v>
      </c>
      <c r="D92" s="12" t="s">
        <v>54</v>
      </c>
      <c r="E92" s="12" t="s">
        <v>107</v>
      </c>
      <c r="F92" s="12"/>
      <c r="G92" s="12"/>
      <c r="H92" s="207"/>
      <c r="I92" s="207"/>
      <c r="J92" s="207"/>
    </row>
    <row r="93" spans="2:10" x14ac:dyDescent="0.25">
      <c r="B93" s="12" t="s">
        <v>80</v>
      </c>
      <c r="C93" s="12"/>
      <c r="D93" s="12" t="s">
        <v>55</v>
      </c>
      <c r="E93" s="13" t="s">
        <v>110</v>
      </c>
      <c r="F93" s="12"/>
      <c r="G93" s="12"/>
      <c r="H93" s="207"/>
      <c r="I93" s="207"/>
      <c r="J93" s="207"/>
    </row>
    <row r="94" spans="2:10" x14ac:dyDescent="0.25">
      <c r="B94" s="14" t="s">
        <v>12</v>
      </c>
      <c r="C94" s="14">
        <v>0</v>
      </c>
      <c r="D94" s="14" t="s">
        <v>13</v>
      </c>
      <c r="E94" s="14">
        <v>0</v>
      </c>
      <c r="F94" s="16">
        <f>SUM(F92:F93)</f>
        <v>0</v>
      </c>
      <c r="G94" s="16">
        <f>SUM(G92:G93)</f>
        <v>0</v>
      </c>
      <c r="H94" s="207"/>
      <c r="I94" s="207"/>
      <c r="J94" s="207"/>
    </row>
    <row r="96" spans="2:10" x14ac:dyDescent="0.25">
      <c r="B96" s="255" t="s">
        <v>56</v>
      </c>
      <c r="C96" s="255"/>
      <c r="D96" s="255"/>
      <c r="E96" s="260"/>
      <c r="F96" s="260" t="s">
        <v>81</v>
      </c>
      <c r="G96" s="261"/>
      <c r="H96" s="207"/>
      <c r="I96" s="207"/>
    </row>
    <row r="97" spans="2:10" x14ac:dyDescent="0.25">
      <c r="B97" s="256" t="s">
        <v>0</v>
      </c>
      <c r="C97" s="256"/>
      <c r="D97" s="256" t="s">
        <v>7</v>
      </c>
      <c r="E97" s="259"/>
      <c r="F97" s="18" t="s">
        <v>68</v>
      </c>
      <c r="G97" s="18" t="s">
        <v>69</v>
      </c>
      <c r="H97" s="207"/>
      <c r="I97" s="207"/>
    </row>
    <row r="98" spans="2:10" x14ac:dyDescent="0.25">
      <c r="B98" s="14" t="s">
        <v>1</v>
      </c>
      <c r="C98" s="14" t="s">
        <v>6</v>
      </c>
      <c r="D98" s="14" t="s">
        <v>1</v>
      </c>
      <c r="E98" s="15" t="s">
        <v>6</v>
      </c>
      <c r="F98" s="14"/>
      <c r="G98" s="14"/>
      <c r="H98" s="207"/>
      <c r="I98" s="207"/>
    </row>
    <row r="99" spans="2:10" x14ac:dyDescent="0.25">
      <c r="B99" s="12" t="s">
        <v>54</v>
      </c>
      <c r="C99" s="13" t="s">
        <v>17</v>
      </c>
      <c r="D99" s="12" t="s">
        <v>23</v>
      </c>
      <c r="E99" s="13" t="s">
        <v>17</v>
      </c>
      <c r="F99" s="12"/>
      <c r="G99" s="12"/>
      <c r="H99" s="207"/>
      <c r="I99" s="207"/>
    </row>
    <row r="100" spans="2:10" x14ac:dyDescent="0.25">
      <c r="B100" s="12"/>
      <c r="C100" s="12"/>
      <c r="D100" s="12" t="s">
        <v>24</v>
      </c>
      <c r="E100" s="13">
        <v>0.25</v>
      </c>
      <c r="F100" s="12"/>
      <c r="G100" s="12">
        <v>0.25</v>
      </c>
      <c r="H100" s="207"/>
      <c r="I100" s="207"/>
    </row>
    <row r="101" spans="2:10" x14ac:dyDescent="0.25">
      <c r="B101" s="14" t="s">
        <v>12</v>
      </c>
      <c r="C101" s="14">
        <f>SUM(C99:C100)</f>
        <v>0</v>
      </c>
      <c r="D101" s="14" t="s">
        <v>13</v>
      </c>
      <c r="E101" s="15">
        <f>SUM(E99:E100)</f>
        <v>0.25</v>
      </c>
      <c r="F101" s="16">
        <f>SUM(F99:F100)</f>
        <v>0</v>
      </c>
      <c r="G101" s="16">
        <f>SUM(G99:G100)</f>
        <v>0.25</v>
      </c>
      <c r="H101" s="207"/>
      <c r="I101" s="207"/>
    </row>
    <row r="102" spans="2:10" x14ac:dyDescent="0.25">
      <c r="B102" s="20"/>
      <c r="C102" s="20"/>
      <c r="D102" s="20"/>
      <c r="E102" s="20"/>
      <c r="F102" s="20"/>
      <c r="G102" s="20"/>
    </row>
    <row r="103" spans="2:10" x14ac:dyDescent="0.25">
      <c r="B103" s="255" t="s">
        <v>57</v>
      </c>
      <c r="C103" s="255"/>
      <c r="D103" s="255"/>
      <c r="E103" s="255"/>
      <c r="F103" s="260" t="s">
        <v>81</v>
      </c>
      <c r="G103" s="261"/>
      <c r="H103" s="207"/>
      <c r="I103" s="207"/>
    </row>
    <row r="104" spans="2:10" x14ac:dyDescent="0.25">
      <c r="B104" s="256" t="s">
        <v>0</v>
      </c>
      <c r="C104" s="256"/>
      <c r="D104" s="256" t="s">
        <v>7</v>
      </c>
      <c r="E104" s="256"/>
      <c r="F104" s="18" t="s">
        <v>68</v>
      </c>
      <c r="G104" s="18" t="s">
        <v>69</v>
      </c>
      <c r="H104" s="207"/>
      <c r="I104" s="207"/>
    </row>
    <row r="105" spans="2:10" x14ac:dyDescent="0.25">
      <c r="B105" s="14" t="s">
        <v>1</v>
      </c>
      <c r="C105" s="14" t="s">
        <v>6</v>
      </c>
      <c r="D105" s="14" t="s">
        <v>1</v>
      </c>
      <c r="E105" s="14" t="s">
        <v>6</v>
      </c>
      <c r="F105" s="14"/>
      <c r="G105" s="14"/>
      <c r="H105" s="207"/>
      <c r="I105" s="207"/>
    </row>
    <row r="106" spans="2:10" x14ac:dyDescent="0.25">
      <c r="B106" s="12" t="s">
        <v>55</v>
      </c>
      <c r="C106" s="12">
        <v>90</v>
      </c>
      <c r="D106" s="12" t="s">
        <v>60</v>
      </c>
      <c r="E106" s="12">
        <v>80</v>
      </c>
      <c r="F106" s="12">
        <v>90</v>
      </c>
      <c r="G106" s="12">
        <v>80</v>
      </c>
      <c r="H106" s="207"/>
      <c r="I106" s="207"/>
    </row>
    <row r="107" spans="2:10" x14ac:dyDescent="0.25">
      <c r="B107" s="12" t="s">
        <v>58</v>
      </c>
      <c r="C107" s="12"/>
      <c r="D107" s="12"/>
      <c r="E107" s="12"/>
      <c r="F107" s="12"/>
      <c r="G107" s="12"/>
      <c r="H107" s="207"/>
      <c r="I107" s="207"/>
    </row>
    <row r="108" spans="2:10" x14ac:dyDescent="0.25">
      <c r="B108" s="12" t="s">
        <v>59</v>
      </c>
      <c r="C108" s="12"/>
      <c r="D108" s="12"/>
      <c r="E108" s="12"/>
      <c r="F108" s="12"/>
      <c r="G108" s="12"/>
      <c r="H108" s="207"/>
      <c r="I108" s="207"/>
    </row>
    <row r="109" spans="2:10" x14ac:dyDescent="0.25">
      <c r="B109" s="14" t="s">
        <v>12</v>
      </c>
      <c r="C109" s="14">
        <f>SUM(C106:C107)</f>
        <v>90</v>
      </c>
      <c r="D109" s="14" t="s">
        <v>13</v>
      </c>
      <c r="E109" s="14">
        <f>SUM(E106:E107)</f>
        <v>80</v>
      </c>
      <c r="F109" s="16">
        <f>SUM(F106:F108)</f>
        <v>90</v>
      </c>
      <c r="G109" s="16">
        <f>SUM(G106:G108)</f>
        <v>80</v>
      </c>
      <c r="H109" s="207"/>
      <c r="I109" s="207"/>
    </row>
    <row r="110" spans="2:10" x14ac:dyDescent="0.25">
      <c r="B110" s="20"/>
      <c r="C110" s="20"/>
      <c r="D110" s="20"/>
      <c r="E110" s="20"/>
      <c r="F110" s="20"/>
      <c r="G110" s="20"/>
    </row>
    <row r="111" spans="2:10" x14ac:dyDescent="0.25">
      <c r="B111" s="255" t="s">
        <v>61</v>
      </c>
      <c r="C111" s="255"/>
      <c r="D111" s="255"/>
      <c r="E111" s="260"/>
      <c r="F111" s="260" t="s">
        <v>81</v>
      </c>
      <c r="G111" s="261"/>
      <c r="H111" s="207"/>
      <c r="I111" s="207"/>
      <c r="J111" s="207"/>
    </row>
    <row r="112" spans="2:10" x14ac:dyDescent="0.25">
      <c r="B112" s="256" t="s">
        <v>0</v>
      </c>
      <c r="C112" s="256"/>
      <c r="D112" s="256" t="s">
        <v>7</v>
      </c>
      <c r="E112" s="259"/>
      <c r="F112" s="18" t="s">
        <v>68</v>
      </c>
      <c r="G112" s="18" t="s">
        <v>69</v>
      </c>
      <c r="H112" s="207"/>
      <c r="I112" s="207"/>
      <c r="J112" s="207"/>
    </row>
    <row r="113" spans="2:10" x14ac:dyDescent="0.25">
      <c r="B113" s="14" t="s">
        <v>1</v>
      </c>
      <c r="C113" s="14" t="s">
        <v>6</v>
      </c>
      <c r="D113" s="14" t="s">
        <v>1</v>
      </c>
      <c r="E113" s="15" t="s">
        <v>6</v>
      </c>
      <c r="F113" s="14"/>
      <c r="G113" s="15"/>
      <c r="H113" s="207"/>
      <c r="I113" s="207"/>
      <c r="J113" s="207"/>
    </row>
    <row r="114" spans="2:10" x14ac:dyDescent="0.25">
      <c r="B114" s="12" t="s">
        <v>60</v>
      </c>
      <c r="C114" s="12">
        <v>80</v>
      </c>
      <c r="D114" s="12" t="s">
        <v>62</v>
      </c>
      <c r="E114" s="13">
        <v>80</v>
      </c>
      <c r="F114" s="12">
        <v>80</v>
      </c>
      <c r="G114" s="13">
        <v>80</v>
      </c>
      <c r="H114" s="207"/>
      <c r="I114" s="207"/>
      <c r="J114" s="207"/>
    </row>
    <row r="115" spans="2:10" x14ac:dyDescent="0.25">
      <c r="B115" s="14" t="s">
        <v>12</v>
      </c>
      <c r="C115" s="14">
        <f>SUM(C114:C114)</f>
        <v>80</v>
      </c>
      <c r="D115" s="14" t="s">
        <v>13</v>
      </c>
      <c r="E115" s="15">
        <f>SUM(E114:E114)</f>
        <v>80</v>
      </c>
      <c r="F115" s="16">
        <f>SUM(F112:F114)</f>
        <v>80</v>
      </c>
      <c r="G115" s="16">
        <f>SUM(G112:G114)</f>
        <v>80</v>
      </c>
      <c r="H115" s="207"/>
      <c r="I115" s="207"/>
      <c r="J115" s="207"/>
    </row>
    <row r="117" spans="2:10" x14ac:dyDescent="0.25">
      <c r="B117" s="255" t="s">
        <v>82</v>
      </c>
      <c r="C117" s="255"/>
      <c r="D117" s="255"/>
      <c r="E117" s="255"/>
      <c r="F117" s="260" t="s">
        <v>81</v>
      </c>
      <c r="G117" s="261"/>
      <c r="H117" s="262"/>
      <c r="I117" s="263"/>
    </row>
    <row r="118" spans="2:10" x14ac:dyDescent="0.25">
      <c r="B118" s="256" t="s">
        <v>0</v>
      </c>
      <c r="C118" s="256"/>
      <c r="D118" s="256" t="s">
        <v>7</v>
      </c>
      <c r="E118" s="256"/>
      <c r="F118" s="18" t="s">
        <v>68</v>
      </c>
      <c r="G118" s="18" t="s">
        <v>69</v>
      </c>
      <c r="H118" s="264"/>
      <c r="I118" s="265"/>
    </row>
    <row r="119" spans="2:10" x14ac:dyDescent="0.25">
      <c r="B119" s="14" t="s">
        <v>1</v>
      </c>
      <c r="C119" s="14" t="s">
        <v>6</v>
      </c>
      <c r="D119" s="14" t="s">
        <v>1</v>
      </c>
      <c r="E119" s="14" t="s">
        <v>6</v>
      </c>
      <c r="F119" s="14"/>
      <c r="G119" s="14"/>
      <c r="H119" s="264"/>
      <c r="I119" s="265"/>
    </row>
    <row r="120" spans="2:10" x14ac:dyDescent="0.25">
      <c r="B120" s="12" t="s">
        <v>65</v>
      </c>
      <c r="C120" s="12">
        <v>40</v>
      </c>
      <c r="D120" s="12" t="s">
        <v>51</v>
      </c>
      <c r="E120" s="12" t="s">
        <v>17</v>
      </c>
      <c r="F120" s="12">
        <v>40</v>
      </c>
      <c r="G120" s="12"/>
      <c r="H120" s="264"/>
      <c r="I120" s="265"/>
    </row>
    <row r="121" spans="2:10" x14ac:dyDescent="0.25">
      <c r="B121" s="12"/>
      <c r="C121" s="12"/>
      <c r="D121" s="12" t="s">
        <v>59</v>
      </c>
      <c r="E121" s="12" t="s">
        <v>17</v>
      </c>
      <c r="F121" s="12"/>
      <c r="G121" s="12"/>
      <c r="H121" s="264"/>
      <c r="I121" s="265"/>
    </row>
    <row r="122" spans="2:10" x14ac:dyDescent="0.25">
      <c r="B122" s="12"/>
      <c r="C122" s="12"/>
      <c r="D122" s="12" t="s">
        <v>67</v>
      </c>
      <c r="E122" s="12" t="s">
        <v>83</v>
      </c>
      <c r="F122" s="12"/>
      <c r="G122" s="12">
        <v>45</v>
      </c>
      <c r="H122" s="264"/>
      <c r="I122" s="265"/>
    </row>
    <row r="123" spans="2:10" x14ac:dyDescent="0.25">
      <c r="B123" s="14" t="s">
        <v>12</v>
      </c>
      <c r="C123" s="14">
        <f>SUM(C120:C120)</f>
        <v>40</v>
      </c>
      <c r="D123" s="14" t="s">
        <v>13</v>
      </c>
      <c r="E123" s="14">
        <f>SUM(E120:E120)</f>
        <v>0</v>
      </c>
      <c r="F123" s="16">
        <f>SUM(F120:F122)</f>
        <v>40</v>
      </c>
      <c r="G123" s="16">
        <f>SUM(G120:G122)</f>
        <v>45</v>
      </c>
      <c r="H123" s="266"/>
      <c r="I123" s="267"/>
    </row>
    <row r="125" spans="2:10" x14ac:dyDescent="0.25">
      <c r="B125" s="255" t="s">
        <v>63</v>
      </c>
      <c r="C125" s="255"/>
      <c r="D125" s="255"/>
      <c r="E125" s="255"/>
      <c r="F125" s="260" t="s">
        <v>81</v>
      </c>
      <c r="G125" s="261"/>
      <c r="H125" s="262"/>
      <c r="I125" s="263"/>
    </row>
    <row r="126" spans="2:10" x14ac:dyDescent="0.25">
      <c r="B126" s="256" t="s">
        <v>0</v>
      </c>
      <c r="C126" s="256"/>
      <c r="D126" s="256" t="s">
        <v>7</v>
      </c>
      <c r="E126" s="256"/>
      <c r="F126" s="18" t="s">
        <v>68</v>
      </c>
      <c r="G126" s="18" t="s">
        <v>69</v>
      </c>
      <c r="H126" s="264"/>
      <c r="I126" s="265"/>
    </row>
    <row r="127" spans="2:10" x14ac:dyDescent="0.25">
      <c r="B127" s="14" t="s">
        <v>1</v>
      </c>
      <c r="C127" s="14" t="s">
        <v>6</v>
      </c>
      <c r="D127" s="14" t="s">
        <v>1</v>
      </c>
      <c r="E127" s="14" t="s">
        <v>6</v>
      </c>
      <c r="F127" s="14"/>
      <c r="G127" s="14"/>
      <c r="H127" s="264"/>
      <c r="I127" s="265"/>
    </row>
    <row r="128" spans="2:10" x14ac:dyDescent="0.25">
      <c r="B128" s="12" t="s">
        <v>64</v>
      </c>
      <c r="C128" s="12">
        <v>40</v>
      </c>
      <c r="D128" s="12" t="s">
        <v>50</v>
      </c>
      <c r="E128" s="12" t="s">
        <v>17</v>
      </c>
      <c r="F128" s="12">
        <v>40</v>
      </c>
      <c r="G128" s="12"/>
      <c r="H128" s="264"/>
      <c r="I128" s="265"/>
    </row>
    <row r="129" spans="2:11" x14ac:dyDescent="0.25">
      <c r="B129" s="12"/>
      <c r="C129" s="12"/>
      <c r="D129" s="12" t="s">
        <v>58</v>
      </c>
      <c r="E129" s="12" t="s">
        <v>17</v>
      </c>
      <c r="F129" s="12"/>
      <c r="G129" s="12"/>
      <c r="H129" s="264"/>
      <c r="I129" s="265"/>
    </row>
    <row r="130" spans="2:11" x14ac:dyDescent="0.25">
      <c r="B130" s="12"/>
      <c r="C130" s="12"/>
      <c r="D130" s="12" t="s">
        <v>66</v>
      </c>
      <c r="E130" s="12" t="s">
        <v>84</v>
      </c>
      <c r="F130" s="12"/>
      <c r="G130" s="12">
        <v>31.5</v>
      </c>
      <c r="H130" s="264"/>
      <c r="I130" s="265"/>
    </row>
    <row r="131" spans="2:11" x14ac:dyDescent="0.25">
      <c r="B131" s="14" t="s">
        <v>12</v>
      </c>
      <c r="C131" s="14">
        <f>SUM(C128:C128)</f>
        <v>40</v>
      </c>
      <c r="D131" s="14" t="s">
        <v>13</v>
      </c>
      <c r="E131" s="14">
        <f>SUM(E128:E128)</f>
        <v>0</v>
      </c>
      <c r="F131" s="16">
        <f>SUM(F128:F130)</f>
        <v>40</v>
      </c>
      <c r="G131" s="16">
        <f>SUM(G128:G130)</f>
        <v>31.5</v>
      </c>
      <c r="H131" s="266"/>
      <c r="I131" s="267"/>
    </row>
    <row r="132" spans="2:11" x14ac:dyDescent="0.25">
      <c r="B132" s="22"/>
      <c r="C132" s="22"/>
      <c r="D132" s="22"/>
      <c r="E132" s="22"/>
      <c r="F132" s="22"/>
      <c r="G132" s="22"/>
      <c r="H132" s="22"/>
      <c r="I132" s="22"/>
    </row>
    <row r="133" spans="2:11" x14ac:dyDescent="0.25">
      <c r="B133" s="255" t="s">
        <v>87</v>
      </c>
      <c r="C133" s="255"/>
      <c r="D133" s="255"/>
      <c r="E133" s="255"/>
      <c r="F133" s="255" t="s">
        <v>81</v>
      </c>
      <c r="G133" s="255"/>
      <c r="H133" s="207"/>
      <c r="I133" s="207"/>
    </row>
    <row r="134" spans="2:11" x14ac:dyDescent="0.25">
      <c r="B134" s="256" t="s">
        <v>0</v>
      </c>
      <c r="C134" s="256"/>
      <c r="D134" s="256" t="s">
        <v>7</v>
      </c>
      <c r="E134" s="256"/>
      <c r="F134" s="18" t="s">
        <v>68</v>
      </c>
      <c r="G134" s="18" t="s">
        <v>69</v>
      </c>
      <c r="H134" s="207"/>
      <c r="I134" s="207"/>
    </row>
    <row r="135" spans="2:11" x14ac:dyDescent="0.25">
      <c r="B135" s="14" t="s">
        <v>1</v>
      </c>
      <c r="C135" s="14" t="s">
        <v>6</v>
      </c>
      <c r="D135" s="14" t="s">
        <v>1</v>
      </c>
      <c r="E135" s="14" t="s">
        <v>6</v>
      </c>
      <c r="F135" s="14"/>
      <c r="G135" s="14"/>
      <c r="H135" s="207"/>
      <c r="I135" s="207"/>
    </row>
    <row r="136" spans="2:11" x14ac:dyDescent="0.25">
      <c r="B136" s="12" t="s">
        <v>67</v>
      </c>
      <c r="C136" s="12" t="s">
        <v>83</v>
      </c>
      <c r="D136" s="12" t="s">
        <v>48</v>
      </c>
      <c r="E136" s="12" t="s">
        <v>77</v>
      </c>
      <c r="F136" s="12">
        <v>45</v>
      </c>
      <c r="G136" s="12">
        <v>18</v>
      </c>
      <c r="H136" s="207"/>
      <c r="I136" s="207"/>
    </row>
    <row r="137" spans="2:11" x14ac:dyDescent="0.25">
      <c r="B137" s="12" t="s">
        <v>66</v>
      </c>
      <c r="C137" s="12" t="s">
        <v>84</v>
      </c>
      <c r="D137" s="12" t="s">
        <v>85</v>
      </c>
      <c r="E137" s="12" t="s">
        <v>86</v>
      </c>
      <c r="F137" s="12">
        <v>31.5</v>
      </c>
      <c r="G137" s="12">
        <v>60</v>
      </c>
      <c r="H137" s="207"/>
      <c r="I137" s="207"/>
    </row>
    <row r="138" spans="2:11" x14ac:dyDescent="0.25">
      <c r="B138" s="14" t="s">
        <v>12</v>
      </c>
      <c r="C138" s="14">
        <f>SUM(C136:C136)</f>
        <v>0</v>
      </c>
      <c r="D138" s="14" t="s">
        <v>13</v>
      </c>
      <c r="E138" s="14">
        <f>SUM(E136:E136)</f>
        <v>0</v>
      </c>
      <c r="F138" s="16">
        <f>SUM(F136:F137)</f>
        <v>76.5</v>
      </c>
      <c r="G138" s="16">
        <f>SUM(G136:G137)</f>
        <v>78</v>
      </c>
      <c r="H138" s="207"/>
      <c r="I138" s="207"/>
    </row>
    <row r="139" spans="2:11" x14ac:dyDescent="0.25">
      <c r="I139" s="22"/>
    </row>
    <row r="140" spans="2:11" x14ac:dyDescent="0.25">
      <c r="B140" s="255" t="s">
        <v>88</v>
      </c>
      <c r="C140" s="255"/>
      <c r="D140" s="255"/>
      <c r="E140" s="255"/>
      <c r="F140" s="255" t="s">
        <v>81</v>
      </c>
      <c r="G140" s="255"/>
      <c r="H140" s="207"/>
      <c r="I140" s="207"/>
      <c r="J140" s="207"/>
      <c r="K140" s="207"/>
    </row>
    <row r="141" spans="2:11" x14ac:dyDescent="0.25">
      <c r="B141" s="256" t="s">
        <v>0</v>
      </c>
      <c r="C141" s="256"/>
      <c r="D141" s="256" t="s">
        <v>7</v>
      </c>
      <c r="E141" s="256"/>
      <c r="F141" s="18" t="s">
        <v>68</v>
      </c>
      <c r="G141" s="18" t="s">
        <v>69</v>
      </c>
      <c r="H141" s="207"/>
      <c r="I141" s="207"/>
      <c r="J141" s="207"/>
      <c r="K141" s="207"/>
    </row>
    <row r="142" spans="2:11" x14ac:dyDescent="0.25">
      <c r="B142" s="14" t="s">
        <v>1</v>
      </c>
      <c r="C142" s="14" t="s">
        <v>6</v>
      </c>
      <c r="D142" s="14" t="s">
        <v>1</v>
      </c>
      <c r="E142" s="14" t="s">
        <v>6</v>
      </c>
      <c r="F142" s="14"/>
      <c r="G142" s="14"/>
      <c r="H142" s="207"/>
      <c r="I142" s="207"/>
      <c r="J142" s="207"/>
      <c r="K142" s="207"/>
    </row>
    <row r="143" spans="2:11" x14ac:dyDescent="0.25">
      <c r="B143" s="12" t="s">
        <v>85</v>
      </c>
      <c r="C143" s="12" t="s">
        <v>86</v>
      </c>
      <c r="D143" s="12" t="s">
        <v>89</v>
      </c>
      <c r="E143" s="12" t="s">
        <v>91</v>
      </c>
      <c r="F143" s="12">
        <v>60</v>
      </c>
      <c r="G143" s="12">
        <v>30</v>
      </c>
      <c r="H143" s="207"/>
      <c r="I143" s="207"/>
      <c r="J143" s="207"/>
      <c r="K143" s="207"/>
    </row>
    <row r="144" spans="2:11" x14ac:dyDescent="0.25">
      <c r="B144" s="12"/>
      <c r="C144" s="12"/>
      <c r="D144" s="12" t="s">
        <v>90</v>
      </c>
      <c r="E144" s="12" t="s">
        <v>91</v>
      </c>
      <c r="F144" s="12"/>
      <c r="G144" s="12">
        <v>30</v>
      </c>
      <c r="H144" s="207"/>
      <c r="I144" s="207"/>
      <c r="J144" s="207"/>
      <c r="K144" s="207"/>
    </row>
    <row r="145" spans="2:11" x14ac:dyDescent="0.25">
      <c r="B145" s="14" t="s">
        <v>12</v>
      </c>
      <c r="C145" s="14">
        <f>SUM(C143:C143)</f>
        <v>0</v>
      </c>
      <c r="D145" s="14" t="s">
        <v>13</v>
      </c>
      <c r="E145" s="14">
        <f>SUM(E143:E143)</f>
        <v>0</v>
      </c>
      <c r="F145" s="16">
        <f>SUM(F143:F144)</f>
        <v>60</v>
      </c>
      <c r="G145" s="16">
        <f>SUM(G143:G144)</f>
        <v>60</v>
      </c>
      <c r="H145" s="207"/>
      <c r="I145" s="207"/>
      <c r="J145" s="207"/>
      <c r="K145" s="207"/>
    </row>
    <row r="146" spans="2:11" x14ac:dyDescent="0.25">
      <c r="H146" s="22"/>
      <c r="I146" s="22"/>
    </row>
    <row r="147" spans="2:11" x14ac:dyDescent="0.25">
      <c r="B147" s="27"/>
      <c r="C147" s="27"/>
      <c r="D147" s="27"/>
      <c r="E147" s="27"/>
      <c r="F147" s="27"/>
      <c r="G147" s="27"/>
      <c r="H147" s="22"/>
      <c r="I147" s="22"/>
    </row>
    <row r="148" spans="2:11" x14ac:dyDescent="0.25">
      <c r="B148" s="257" t="s">
        <v>21</v>
      </c>
      <c r="C148" s="257"/>
      <c r="D148" s="257"/>
      <c r="E148" s="258"/>
      <c r="F148" s="255" t="s">
        <v>81</v>
      </c>
      <c r="G148" s="255"/>
      <c r="H148" s="207"/>
      <c r="I148" s="207"/>
      <c r="J148" s="207"/>
      <c r="K148" s="207"/>
    </row>
    <row r="149" spans="2:11" x14ac:dyDescent="0.25">
      <c r="B149" s="256" t="s">
        <v>0</v>
      </c>
      <c r="C149" s="256"/>
      <c r="D149" s="256" t="s">
        <v>7</v>
      </c>
      <c r="E149" s="259"/>
      <c r="F149" s="18" t="s">
        <v>68</v>
      </c>
      <c r="G149" s="18" t="s">
        <v>69</v>
      </c>
      <c r="H149" s="207"/>
      <c r="I149" s="207"/>
      <c r="J149" s="207"/>
      <c r="K149" s="207"/>
    </row>
    <row r="150" spans="2:11" x14ac:dyDescent="0.25">
      <c r="B150" s="14" t="s">
        <v>1</v>
      </c>
      <c r="C150" s="14" t="s">
        <v>6</v>
      </c>
      <c r="D150" s="14" t="s">
        <v>1</v>
      </c>
      <c r="E150" s="15" t="s">
        <v>6</v>
      </c>
      <c r="F150" s="14"/>
      <c r="G150" s="14"/>
      <c r="H150" s="207"/>
      <c r="I150" s="207"/>
      <c r="J150" s="207"/>
      <c r="K150" s="207"/>
    </row>
    <row r="151" spans="2:11" x14ac:dyDescent="0.25">
      <c r="B151" s="12" t="s">
        <v>92</v>
      </c>
      <c r="C151" s="12">
        <v>60</v>
      </c>
      <c r="D151" s="12" t="s">
        <v>93</v>
      </c>
      <c r="E151" s="13">
        <v>30</v>
      </c>
      <c r="F151" s="12">
        <v>60</v>
      </c>
      <c r="G151" s="13">
        <v>30</v>
      </c>
      <c r="H151" s="207"/>
      <c r="I151" s="207"/>
      <c r="J151" s="207"/>
      <c r="K151" s="207"/>
    </row>
    <row r="152" spans="2:11" x14ac:dyDescent="0.25">
      <c r="B152" s="12"/>
      <c r="C152" s="12"/>
      <c r="D152" s="12" t="s">
        <v>94</v>
      </c>
      <c r="E152" s="13">
        <v>30</v>
      </c>
      <c r="F152" s="12"/>
      <c r="G152" s="13">
        <v>30</v>
      </c>
      <c r="H152" s="207"/>
      <c r="I152" s="207"/>
      <c r="J152" s="207"/>
      <c r="K152" s="207"/>
    </row>
    <row r="153" spans="2:11" x14ac:dyDescent="0.25">
      <c r="B153" s="12"/>
      <c r="C153" s="12"/>
      <c r="D153" s="12" t="s">
        <v>95</v>
      </c>
      <c r="E153" s="13">
        <v>15</v>
      </c>
      <c r="F153" s="12"/>
      <c r="G153" s="13">
        <v>15</v>
      </c>
      <c r="H153" s="207"/>
      <c r="I153" s="207"/>
      <c r="J153" s="207"/>
      <c r="K153" s="207"/>
    </row>
    <row r="154" spans="2:11" x14ac:dyDescent="0.25">
      <c r="B154" s="12"/>
      <c r="C154" s="12"/>
      <c r="D154" s="12" t="s">
        <v>96</v>
      </c>
      <c r="E154" s="13">
        <v>15</v>
      </c>
      <c r="F154" s="12"/>
      <c r="G154" s="13">
        <v>15</v>
      </c>
      <c r="H154" s="207"/>
      <c r="I154" s="207"/>
      <c r="J154" s="207"/>
      <c r="K154" s="207"/>
    </row>
    <row r="155" spans="2:11" x14ac:dyDescent="0.25">
      <c r="B155" s="12"/>
      <c r="C155" s="12"/>
      <c r="D155" s="12" t="s">
        <v>97</v>
      </c>
      <c r="E155" s="13">
        <v>5</v>
      </c>
      <c r="F155" s="12"/>
      <c r="G155" s="13">
        <v>5</v>
      </c>
      <c r="H155" s="207"/>
      <c r="I155" s="207"/>
      <c r="J155" s="207"/>
      <c r="K155" s="207"/>
    </row>
    <row r="156" spans="2:11" x14ac:dyDescent="0.25">
      <c r="B156" s="12"/>
      <c r="C156" s="12"/>
      <c r="D156" s="12" t="s">
        <v>98</v>
      </c>
      <c r="E156" s="13">
        <v>20</v>
      </c>
      <c r="F156" s="12"/>
      <c r="G156" s="13">
        <v>20</v>
      </c>
      <c r="H156" s="207"/>
      <c r="I156" s="207"/>
      <c r="J156" s="207"/>
      <c r="K156" s="207"/>
    </row>
    <row r="157" spans="2:11" x14ac:dyDescent="0.25">
      <c r="B157" s="12"/>
      <c r="C157" s="12"/>
      <c r="D157" s="12" t="s">
        <v>99</v>
      </c>
      <c r="E157" s="13">
        <v>15</v>
      </c>
      <c r="F157" s="12"/>
      <c r="G157" s="13">
        <v>15</v>
      </c>
      <c r="H157" s="207"/>
      <c r="I157" s="207"/>
      <c r="J157" s="207"/>
      <c r="K157" s="207"/>
    </row>
    <row r="158" spans="2:11" x14ac:dyDescent="0.25">
      <c r="B158" s="12"/>
      <c r="C158" s="12"/>
      <c r="D158" s="12" t="s">
        <v>101</v>
      </c>
      <c r="E158" s="13">
        <v>5</v>
      </c>
      <c r="F158" s="12"/>
      <c r="G158" s="13">
        <v>5</v>
      </c>
      <c r="H158" s="207"/>
      <c r="I158" s="207"/>
      <c r="J158" s="207"/>
      <c r="K158" s="207"/>
    </row>
    <row r="159" spans="2:11" x14ac:dyDescent="0.25">
      <c r="B159" s="12"/>
      <c r="C159" s="12"/>
      <c r="D159" s="12" t="s">
        <v>100</v>
      </c>
      <c r="E159" s="13">
        <v>15</v>
      </c>
      <c r="F159" s="12"/>
      <c r="G159" s="13">
        <v>15</v>
      </c>
      <c r="H159" s="207"/>
      <c r="I159" s="207"/>
      <c r="J159" s="207"/>
      <c r="K159" s="207"/>
    </row>
    <row r="160" spans="2:11" x14ac:dyDescent="0.25">
      <c r="B160" s="14" t="s">
        <v>12</v>
      </c>
      <c r="C160" s="14">
        <f>SUM(C151:C153)</f>
        <v>60</v>
      </c>
      <c r="D160" s="14" t="s">
        <v>13</v>
      </c>
      <c r="E160" s="15">
        <f>SUM(E151:E159)</f>
        <v>150</v>
      </c>
      <c r="F160" s="16">
        <f>SUM(F151:F159)</f>
        <v>60</v>
      </c>
      <c r="G160" s="16">
        <f>SUM(G151,G153,G158,G157)</f>
        <v>65</v>
      </c>
      <c r="H160" s="207"/>
      <c r="I160" s="207"/>
      <c r="J160" s="207"/>
      <c r="K160" s="207"/>
    </row>
  </sheetData>
  <mergeCells count="99">
    <mergeCell ref="B112:C112"/>
    <mergeCell ref="D112:E112"/>
    <mergeCell ref="B125:E125"/>
    <mergeCell ref="B39:C39"/>
    <mergeCell ref="D39:E39"/>
    <mergeCell ref="D69:E69"/>
    <mergeCell ref="B117:E117"/>
    <mergeCell ref="B118:C118"/>
    <mergeCell ref="D118:E118"/>
    <mergeCell ref="B47:C47"/>
    <mergeCell ref="D47:E47"/>
    <mergeCell ref="B61:E61"/>
    <mergeCell ref="B62:C62"/>
    <mergeCell ref="D62:E62"/>
    <mergeCell ref="B68:E68"/>
    <mergeCell ref="B103:E103"/>
    <mergeCell ref="B2:E2"/>
    <mergeCell ref="B3:C3"/>
    <mergeCell ref="D3:E3"/>
    <mergeCell ref="B9:E9"/>
    <mergeCell ref="B10:C10"/>
    <mergeCell ref="D10:E10"/>
    <mergeCell ref="B17:E17"/>
    <mergeCell ref="B96:E96"/>
    <mergeCell ref="B97:C97"/>
    <mergeCell ref="D97:E97"/>
    <mergeCell ref="B111:E111"/>
    <mergeCell ref="B89:E89"/>
    <mergeCell ref="B79:C79"/>
    <mergeCell ref="D79:E79"/>
    <mergeCell ref="B69:C69"/>
    <mergeCell ref="B104:C104"/>
    <mergeCell ref="D104:E104"/>
    <mergeCell ref="B54:E54"/>
    <mergeCell ref="H9:L15"/>
    <mergeCell ref="H23:J28"/>
    <mergeCell ref="H30:I36"/>
    <mergeCell ref="H38:J44"/>
    <mergeCell ref="H46:J52"/>
    <mergeCell ref="H17:J21"/>
    <mergeCell ref="H61:J66"/>
    <mergeCell ref="H68:J75"/>
    <mergeCell ref="H78:J87"/>
    <mergeCell ref="B46:E46"/>
    <mergeCell ref="B18:C18"/>
    <mergeCell ref="D18:E18"/>
    <mergeCell ref="B23:E23"/>
    <mergeCell ref="B24:C24"/>
    <mergeCell ref="D24:E24"/>
    <mergeCell ref="B30:E30"/>
    <mergeCell ref="B31:C31"/>
    <mergeCell ref="D31:E31"/>
    <mergeCell ref="B55:C55"/>
    <mergeCell ref="D55:E55"/>
    <mergeCell ref="B78:E78"/>
    <mergeCell ref="B38:E38"/>
    <mergeCell ref="H89:J94"/>
    <mergeCell ref="B90:C90"/>
    <mergeCell ref="D90:E90"/>
    <mergeCell ref="F2:G2"/>
    <mergeCell ref="F9:G9"/>
    <mergeCell ref="F17:G17"/>
    <mergeCell ref="F23:G23"/>
    <mergeCell ref="F30:G30"/>
    <mergeCell ref="F38:G38"/>
    <mergeCell ref="F46:G46"/>
    <mergeCell ref="F54:G54"/>
    <mergeCell ref="F61:G61"/>
    <mergeCell ref="F68:G68"/>
    <mergeCell ref="F78:G78"/>
    <mergeCell ref="F89:G89"/>
    <mergeCell ref="H54:J59"/>
    <mergeCell ref="H96:I101"/>
    <mergeCell ref="F96:G96"/>
    <mergeCell ref="F103:G103"/>
    <mergeCell ref="H103:I109"/>
    <mergeCell ref="H111:J115"/>
    <mergeCell ref="F111:G111"/>
    <mergeCell ref="B133:E133"/>
    <mergeCell ref="F133:G133"/>
    <mergeCell ref="H133:I138"/>
    <mergeCell ref="B134:C134"/>
    <mergeCell ref="D134:E134"/>
    <mergeCell ref="H148:K160"/>
    <mergeCell ref="F148:G148"/>
    <mergeCell ref="B140:E140"/>
    <mergeCell ref="F140:G140"/>
    <mergeCell ref="B141:C141"/>
    <mergeCell ref="D141:E141"/>
    <mergeCell ref="H140:K145"/>
    <mergeCell ref="B148:E148"/>
    <mergeCell ref="B149:C149"/>
    <mergeCell ref="D149:E149"/>
    <mergeCell ref="F117:G117"/>
    <mergeCell ref="H117:I123"/>
    <mergeCell ref="F125:G125"/>
    <mergeCell ref="H125:I131"/>
    <mergeCell ref="B126:C126"/>
    <mergeCell ref="D126:E126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F606-7BEC-480B-A7C2-3E8D05867994}">
  <dimension ref="A2:E69"/>
  <sheetViews>
    <sheetView topLeftCell="A15" workbookViewId="0">
      <selection activeCell="H34" sqref="H34"/>
    </sheetView>
  </sheetViews>
  <sheetFormatPr baseColWidth="10" defaultRowHeight="15" x14ac:dyDescent="0.25"/>
  <cols>
    <col min="1" max="1" width="13.5703125" customWidth="1"/>
    <col min="2" max="2" width="32.140625" bestFit="1" customWidth="1"/>
    <col min="3" max="3" width="37" bestFit="1" customWidth="1"/>
    <col min="5" max="5" width="27.7109375" bestFit="1" customWidth="1"/>
  </cols>
  <sheetData>
    <row r="2" spans="1:5" x14ac:dyDescent="0.25">
      <c r="A2" s="57" t="s">
        <v>263</v>
      </c>
      <c r="B2" s="57" t="s">
        <v>261</v>
      </c>
      <c r="C2" s="57" t="s">
        <v>262</v>
      </c>
      <c r="D2" s="57" t="s">
        <v>297</v>
      </c>
      <c r="E2" s="57" t="s">
        <v>296</v>
      </c>
    </row>
    <row r="3" spans="1:5" x14ac:dyDescent="0.25">
      <c r="A3" s="300" t="s">
        <v>264</v>
      </c>
      <c r="B3" s="56" t="s">
        <v>122</v>
      </c>
      <c r="C3" s="289" t="s">
        <v>269</v>
      </c>
      <c r="D3" s="31">
        <v>0</v>
      </c>
      <c r="E3" s="31"/>
    </row>
    <row r="4" spans="1:5" x14ac:dyDescent="0.25">
      <c r="A4" s="300"/>
      <c r="B4" s="56" t="s">
        <v>123</v>
      </c>
      <c r="C4" s="289"/>
      <c r="D4" s="31">
        <v>0</v>
      </c>
      <c r="E4" s="31"/>
    </row>
    <row r="5" spans="1:5" x14ac:dyDescent="0.25">
      <c r="A5" s="300"/>
      <c r="B5" s="56" t="s">
        <v>124</v>
      </c>
      <c r="C5" s="289"/>
      <c r="D5" s="31">
        <v>0</v>
      </c>
      <c r="E5" s="31"/>
    </row>
    <row r="6" spans="1:5" x14ac:dyDescent="0.25">
      <c r="A6" s="300"/>
      <c r="B6" s="56" t="s">
        <v>125</v>
      </c>
      <c r="C6" s="289"/>
      <c r="D6" s="31">
        <v>0</v>
      </c>
      <c r="E6" s="31"/>
    </row>
    <row r="7" spans="1:5" x14ac:dyDescent="0.25">
      <c r="A7" s="300"/>
      <c r="B7" s="56" t="s">
        <v>126</v>
      </c>
      <c r="C7" s="289"/>
      <c r="D7" s="31">
        <v>0</v>
      </c>
      <c r="E7" s="31"/>
    </row>
    <row r="8" spans="1:5" x14ac:dyDescent="0.25">
      <c r="A8" s="296" t="s">
        <v>265</v>
      </c>
      <c r="B8" s="56" t="s">
        <v>127</v>
      </c>
      <c r="C8" s="56" t="s">
        <v>270</v>
      </c>
      <c r="D8" s="31">
        <v>3.7</v>
      </c>
      <c r="E8" s="31">
        <v>23</v>
      </c>
    </row>
    <row r="9" spans="1:5" x14ac:dyDescent="0.25">
      <c r="A9" s="296"/>
      <c r="B9" s="56" t="s">
        <v>129</v>
      </c>
      <c r="C9" s="56" t="s">
        <v>271</v>
      </c>
      <c r="D9" s="31">
        <v>3.05</v>
      </c>
      <c r="E9" s="31">
        <v>23</v>
      </c>
    </row>
    <row r="10" spans="1:5" x14ac:dyDescent="0.25">
      <c r="A10" s="296"/>
      <c r="B10" s="56" t="s">
        <v>128</v>
      </c>
      <c r="C10" s="56" t="s">
        <v>272</v>
      </c>
      <c r="D10" s="31">
        <v>0</v>
      </c>
      <c r="E10" s="31"/>
    </row>
    <row r="11" spans="1:5" x14ac:dyDescent="0.25">
      <c r="A11" s="296"/>
      <c r="B11" s="56" t="s">
        <v>132</v>
      </c>
      <c r="C11" s="56" t="s">
        <v>273</v>
      </c>
      <c r="D11" s="31">
        <v>0</v>
      </c>
      <c r="E11" s="31"/>
    </row>
    <row r="12" spans="1:5" x14ac:dyDescent="0.25">
      <c r="A12" s="296"/>
      <c r="B12" s="56" t="s">
        <v>135</v>
      </c>
      <c r="C12" s="56" t="s">
        <v>274</v>
      </c>
      <c r="D12" s="31">
        <v>18.5</v>
      </c>
      <c r="E12" s="31">
        <v>23</v>
      </c>
    </row>
    <row r="13" spans="1:5" x14ac:dyDescent="0.25">
      <c r="A13" s="296"/>
      <c r="B13" s="56" t="s">
        <v>136</v>
      </c>
      <c r="C13" s="56" t="s">
        <v>276</v>
      </c>
      <c r="D13" s="31">
        <v>0</v>
      </c>
      <c r="E13" s="31"/>
    </row>
    <row r="14" spans="1:5" x14ac:dyDescent="0.25">
      <c r="A14" s="296"/>
      <c r="B14" s="56" t="s">
        <v>137</v>
      </c>
      <c r="C14" s="56" t="s">
        <v>275</v>
      </c>
      <c r="D14" s="31">
        <v>1.1000000000000001</v>
      </c>
      <c r="E14" s="31">
        <v>23</v>
      </c>
    </row>
    <row r="15" spans="1:5" x14ac:dyDescent="0.25">
      <c r="A15" s="296"/>
      <c r="B15" s="56" t="s">
        <v>138</v>
      </c>
      <c r="C15" s="294" t="s">
        <v>277</v>
      </c>
      <c r="D15" s="31">
        <v>0</v>
      </c>
      <c r="E15" s="31"/>
    </row>
    <row r="16" spans="1:5" x14ac:dyDescent="0.25">
      <c r="A16" s="296"/>
      <c r="B16" s="56" t="s">
        <v>139</v>
      </c>
      <c r="C16" s="295"/>
      <c r="D16" s="31">
        <v>0</v>
      </c>
      <c r="E16" s="31"/>
    </row>
    <row r="17" spans="1:5" x14ac:dyDescent="0.25">
      <c r="A17" s="296"/>
      <c r="B17" s="56" t="s">
        <v>142</v>
      </c>
      <c r="C17" s="295"/>
      <c r="D17" s="31">
        <v>0</v>
      </c>
      <c r="E17" s="31"/>
    </row>
    <row r="18" spans="1:5" x14ac:dyDescent="0.25">
      <c r="A18" s="296"/>
      <c r="B18" s="56" t="s">
        <v>143</v>
      </c>
      <c r="C18" s="297"/>
      <c r="D18" s="31">
        <v>0</v>
      </c>
      <c r="E18" s="31"/>
    </row>
    <row r="19" spans="1:5" x14ac:dyDescent="0.25">
      <c r="A19" s="296"/>
      <c r="B19" s="56" t="s">
        <v>140</v>
      </c>
      <c r="C19" s="56" t="s">
        <v>278</v>
      </c>
      <c r="D19" s="31">
        <v>1.1000000000000001</v>
      </c>
      <c r="E19" s="31">
        <v>23</v>
      </c>
    </row>
    <row r="20" spans="1:5" x14ac:dyDescent="0.25">
      <c r="A20" s="296"/>
      <c r="B20" s="56" t="s">
        <v>141</v>
      </c>
      <c r="C20" s="56" t="s">
        <v>278</v>
      </c>
      <c r="D20" s="31">
        <v>1.1000000000000001</v>
      </c>
      <c r="E20" s="31">
        <v>23</v>
      </c>
    </row>
    <row r="21" spans="1:5" x14ac:dyDescent="0.25">
      <c r="A21" s="296"/>
      <c r="B21" s="56" t="s">
        <v>144</v>
      </c>
      <c r="C21" s="56" t="s">
        <v>277</v>
      </c>
      <c r="D21" s="31">
        <v>0</v>
      </c>
      <c r="E21" s="31"/>
    </row>
    <row r="22" spans="1:5" x14ac:dyDescent="0.25">
      <c r="A22" s="296"/>
      <c r="B22" s="56" t="s">
        <v>145</v>
      </c>
      <c r="C22" s="56" t="s">
        <v>279</v>
      </c>
      <c r="D22" s="31">
        <v>7.5</v>
      </c>
      <c r="E22" s="31">
        <v>23</v>
      </c>
    </row>
    <row r="23" spans="1:5" x14ac:dyDescent="0.25">
      <c r="A23" s="296"/>
      <c r="B23" s="56" t="s">
        <v>146</v>
      </c>
      <c r="C23" s="56" t="s">
        <v>277</v>
      </c>
      <c r="D23" s="31">
        <v>0</v>
      </c>
      <c r="E23" s="31"/>
    </row>
    <row r="24" spans="1:5" x14ac:dyDescent="0.25">
      <c r="A24" s="296"/>
      <c r="B24" s="56" t="s">
        <v>147</v>
      </c>
      <c r="C24" s="56" t="s">
        <v>280</v>
      </c>
      <c r="D24" s="32">
        <v>11.2</v>
      </c>
      <c r="E24" s="58">
        <v>23</v>
      </c>
    </row>
    <row r="25" spans="1:5" x14ac:dyDescent="0.25">
      <c r="A25" s="296"/>
      <c r="B25" s="56" t="s">
        <v>148</v>
      </c>
      <c r="C25" s="56" t="s">
        <v>281</v>
      </c>
      <c r="D25" s="31">
        <v>0</v>
      </c>
      <c r="E25" s="58"/>
    </row>
    <row r="26" spans="1:5" x14ac:dyDescent="0.25">
      <c r="A26" s="296"/>
      <c r="B26" s="56" t="s">
        <v>149</v>
      </c>
      <c r="C26" s="56" t="s">
        <v>282</v>
      </c>
      <c r="D26" s="31">
        <v>15</v>
      </c>
      <c r="E26" s="58">
        <v>23</v>
      </c>
    </row>
    <row r="27" spans="1:5" x14ac:dyDescent="0.25">
      <c r="A27" s="296"/>
      <c r="B27" s="294" t="s">
        <v>244</v>
      </c>
      <c r="C27" s="294" t="s">
        <v>283</v>
      </c>
      <c r="D27" s="31">
        <v>25</v>
      </c>
      <c r="E27" s="58">
        <v>23</v>
      </c>
    </row>
    <row r="28" spans="1:5" x14ac:dyDescent="0.25">
      <c r="A28" s="296"/>
      <c r="B28" s="297"/>
      <c r="C28" s="297"/>
      <c r="D28" s="31">
        <v>24</v>
      </c>
      <c r="E28" s="58">
        <v>23</v>
      </c>
    </row>
    <row r="29" spans="1:5" x14ac:dyDescent="0.25">
      <c r="A29" s="296"/>
      <c r="B29" s="294" t="s">
        <v>150</v>
      </c>
      <c r="C29" s="298" t="s">
        <v>284</v>
      </c>
      <c r="D29" s="31">
        <v>3</v>
      </c>
      <c r="E29" s="58">
        <v>23</v>
      </c>
    </row>
    <row r="30" spans="1:5" x14ac:dyDescent="0.25">
      <c r="A30" s="296"/>
      <c r="B30" s="297"/>
      <c r="C30" s="299"/>
      <c r="D30" s="31">
        <v>37</v>
      </c>
      <c r="E30" s="58">
        <v>23</v>
      </c>
    </row>
    <row r="31" spans="1:5" x14ac:dyDescent="0.25">
      <c r="A31" s="296" t="s">
        <v>266</v>
      </c>
      <c r="B31" s="56" t="s">
        <v>152</v>
      </c>
      <c r="C31" s="56" t="s">
        <v>285</v>
      </c>
      <c r="D31" s="31">
        <v>22.36</v>
      </c>
      <c r="E31" s="58">
        <v>23</v>
      </c>
    </row>
    <row r="32" spans="1:5" x14ac:dyDescent="0.25">
      <c r="A32" s="296"/>
      <c r="B32" s="56" t="s">
        <v>151</v>
      </c>
      <c r="C32" s="56"/>
      <c r="D32" s="31">
        <v>0</v>
      </c>
      <c r="E32" s="31"/>
    </row>
    <row r="33" spans="1:5" x14ac:dyDescent="0.25">
      <c r="A33" s="296"/>
      <c r="B33" s="294" t="s">
        <v>153</v>
      </c>
      <c r="C33" s="56" t="s">
        <v>286</v>
      </c>
      <c r="D33" s="31">
        <v>1.49</v>
      </c>
      <c r="E33" s="58">
        <v>23</v>
      </c>
    </row>
    <row r="34" spans="1:5" x14ac:dyDescent="0.25">
      <c r="A34" s="296"/>
      <c r="B34" s="295"/>
      <c r="C34" s="56" t="s">
        <v>287</v>
      </c>
      <c r="D34" s="31">
        <v>0.37</v>
      </c>
      <c r="E34" s="58">
        <v>23</v>
      </c>
    </row>
    <row r="35" spans="1:5" x14ac:dyDescent="0.25">
      <c r="A35" s="296"/>
      <c r="B35" s="295"/>
      <c r="C35" s="56" t="s">
        <v>288</v>
      </c>
      <c r="D35" s="31">
        <v>0.75</v>
      </c>
      <c r="E35" s="58">
        <v>23</v>
      </c>
    </row>
    <row r="36" spans="1:5" x14ac:dyDescent="0.25">
      <c r="A36" s="296"/>
      <c r="B36" s="297"/>
      <c r="C36" s="56" t="s">
        <v>289</v>
      </c>
      <c r="D36" s="31">
        <v>0.37</v>
      </c>
      <c r="E36" s="58">
        <v>23</v>
      </c>
    </row>
    <row r="37" spans="1:5" x14ac:dyDescent="0.25">
      <c r="A37" s="296"/>
      <c r="B37" s="56" t="s">
        <v>154</v>
      </c>
      <c r="C37" s="56"/>
      <c r="D37" s="31"/>
      <c r="E37" s="31"/>
    </row>
    <row r="38" spans="1:5" x14ac:dyDescent="0.25">
      <c r="A38" s="296"/>
      <c r="B38" s="294" t="s">
        <v>155</v>
      </c>
      <c r="C38" s="55" t="s">
        <v>257</v>
      </c>
      <c r="D38" s="55">
        <v>0.37280000000000002</v>
      </c>
      <c r="E38" s="58">
        <v>23</v>
      </c>
    </row>
    <row r="39" spans="1:5" x14ac:dyDescent="0.25">
      <c r="A39" s="296"/>
      <c r="B39" s="295"/>
      <c r="C39" s="31" t="s">
        <v>220</v>
      </c>
      <c r="D39" s="31">
        <v>2.7E-2</v>
      </c>
      <c r="E39" s="58">
        <v>23</v>
      </c>
    </row>
    <row r="40" spans="1:5" x14ac:dyDescent="0.25">
      <c r="A40" s="296"/>
      <c r="B40" s="295"/>
      <c r="C40" s="31" t="s">
        <v>221</v>
      </c>
      <c r="D40" s="31">
        <v>0.09</v>
      </c>
      <c r="E40" s="58">
        <v>23</v>
      </c>
    </row>
    <row r="41" spans="1:5" x14ac:dyDescent="0.25">
      <c r="A41" s="296"/>
      <c r="B41" s="295"/>
      <c r="C41" s="31" t="s">
        <v>222</v>
      </c>
      <c r="D41" s="31">
        <v>6.8000000000000005E-2</v>
      </c>
      <c r="E41" s="58">
        <v>23</v>
      </c>
    </row>
    <row r="42" spans="1:5" x14ac:dyDescent="0.25">
      <c r="A42" s="296"/>
      <c r="B42" s="295"/>
      <c r="C42" s="31" t="s">
        <v>223</v>
      </c>
      <c r="D42" s="31">
        <v>6.8000000000000005E-2</v>
      </c>
      <c r="E42" s="58">
        <v>23</v>
      </c>
    </row>
    <row r="43" spans="1:5" x14ac:dyDescent="0.25">
      <c r="A43" s="296"/>
      <c r="B43" s="295"/>
      <c r="C43" s="31" t="s">
        <v>224</v>
      </c>
      <c r="D43" s="31">
        <v>0.75</v>
      </c>
      <c r="E43" s="58">
        <v>23</v>
      </c>
    </row>
    <row r="44" spans="1:5" x14ac:dyDescent="0.25">
      <c r="A44" s="296"/>
      <c r="B44" s="295"/>
      <c r="C44" s="31" t="s">
        <v>293</v>
      </c>
      <c r="D44" s="31">
        <v>0.75</v>
      </c>
      <c r="E44" s="58">
        <v>23</v>
      </c>
    </row>
    <row r="45" spans="1:5" x14ac:dyDescent="0.25">
      <c r="A45" s="296"/>
      <c r="B45" s="295"/>
      <c r="C45" s="31" t="s">
        <v>292</v>
      </c>
      <c r="D45" s="31">
        <v>0.75</v>
      </c>
      <c r="E45" s="58">
        <v>23</v>
      </c>
    </row>
    <row r="46" spans="1:5" x14ac:dyDescent="0.25">
      <c r="A46" s="296"/>
      <c r="B46" s="297"/>
      <c r="C46" s="31" t="s">
        <v>225</v>
      </c>
      <c r="D46" s="31">
        <v>0.75</v>
      </c>
      <c r="E46" s="58">
        <v>23</v>
      </c>
    </row>
    <row r="47" spans="1:5" x14ac:dyDescent="0.25">
      <c r="A47" s="296" t="s">
        <v>267</v>
      </c>
      <c r="B47" s="56" t="s">
        <v>156</v>
      </c>
      <c r="C47" s="31"/>
      <c r="D47" s="31"/>
      <c r="E47" s="31"/>
    </row>
    <row r="48" spans="1:5" x14ac:dyDescent="0.25">
      <c r="A48" s="296"/>
      <c r="B48" s="56" t="s">
        <v>157</v>
      </c>
      <c r="C48" s="31" t="s">
        <v>227</v>
      </c>
      <c r="D48" s="31">
        <v>90</v>
      </c>
      <c r="E48" s="58">
        <v>24</v>
      </c>
    </row>
    <row r="49" spans="1:5" x14ac:dyDescent="0.25">
      <c r="A49" s="296"/>
      <c r="B49" s="56" t="s">
        <v>158</v>
      </c>
      <c r="C49" s="56"/>
      <c r="D49" s="31"/>
      <c r="E49" s="31"/>
    </row>
    <row r="50" spans="1:5" x14ac:dyDescent="0.25">
      <c r="A50" s="296"/>
      <c r="B50" s="56" t="s">
        <v>159</v>
      </c>
      <c r="C50" s="56"/>
      <c r="D50" s="31"/>
      <c r="E50" s="31"/>
    </row>
    <row r="51" spans="1:5" x14ac:dyDescent="0.25">
      <c r="A51" s="296"/>
      <c r="B51" s="56" t="s">
        <v>160</v>
      </c>
      <c r="C51" s="56"/>
      <c r="D51" s="31"/>
      <c r="E51" s="31"/>
    </row>
    <row r="52" spans="1:5" x14ac:dyDescent="0.25">
      <c r="A52" s="296"/>
      <c r="B52" s="56" t="s">
        <v>161</v>
      </c>
      <c r="C52" s="56"/>
      <c r="D52" s="31"/>
      <c r="E52" s="31"/>
    </row>
    <row r="53" spans="1:5" x14ac:dyDescent="0.25">
      <c r="A53" s="296"/>
      <c r="B53" s="56" t="s">
        <v>162</v>
      </c>
      <c r="C53" s="31" t="s">
        <v>294</v>
      </c>
      <c r="D53" s="31">
        <v>14.9</v>
      </c>
      <c r="E53" s="58">
        <v>23</v>
      </c>
    </row>
    <row r="54" spans="1:5" x14ac:dyDescent="0.25">
      <c r="A54" s="296"/>
      <c r="B54" s="56" t="s">
        <v>163</v>
      </c>
      <c r="C54" s="31" t="s">
        <v>294</v>
      </c>
      <c r="D54" s="31">
        <v>14.9</v>
      </c>
      <c r="E54" s="58">
        <v>23</v>
      </c>
    </row>
    <row r="55" spans="1:5" x14ac:dyDescent="0.25">
      <c r="A55" s="296"/>
      <c r="B55" s="56" t="s">
        <v>164</v>
      </c>
      <c r="C55" s="31" t="s">
        <v>226</v>
      </c>
      <c r="D55" s="31">
        <v>11</v>
      </c>
      <c r="E55" s="58">
        <v>23</v>
      </c>
    </row>
    <row r="56" spans="1:5" x14ac:dyDescent="0.25">
      <c r="A56" s="296"/>
      <c r="B56" s="56"/>
      <c r="C56" s="56" t="s">
        <v>295</v>
      </c>
      <c r="D56" s="31">
        <v>45</v>
      </c>
      <c r="E56" s="58">
        <v>24</v>
      </c>
    </row>
    <row r="57" spans="1:5" x14ac:dyDescent="0.25">
      <c r="A57" s="296"/>
      <c r="B57" s="56" t="s">
        <v>165</v>
      </c>
      <c r="C57" s="31" t="s">
        <v>226</v>
      </c>
      <c r="D57" s="31">
        <v>11</v>
      </c>
      <c r="E57" s="58">
        <v>23</v>
      </c>
    </row>
    <row r="58" spans="1:5" x14ac:dyDescent="0.25">
      <c r="A58" s="296"/>
      <c r="B58" s="56"/>
      <c r="C58" s="56" t="s">
        <v>295</v>
      </c>
      <c r="D58" s="31">
        <v>45</v>
      </c>
      <c r="E58" s="58">
        <v>24</v>
      </c>
    </row>
    <row r="59" spans="1:5" x14ac:dyDescent="0.25">
      <c r="A59" s="296"/>
      <c r="B59" s="56" t="s">
        <v>166</v>
      </c>
      <c r="C59" s="56"/>
      <c r="D59" s="31"/>
      <c r="E59" s="31"/>
    </row>
    <row r="60" spans="1:5" x14ac:dyDescent="0.25">
      <c r="A60" s="296"/>
      <c r="B60" s="56" t="s">
        <v>167</v>
      </c>
      <c r="C60" s="56" t="s">
        <v>298</v>
      </c>
      <c r="D60" s="31">
        <v>30</v>
      </c>
      <c r="E60" s="31">
        <v>23</v>
      </c>
    </row>
    <row r="61" spans="1:5" x14ac:dyDescent="0.25">
      <c r="A61" s="296" t="s">
        <v>268</v>
      </c>
      <c r="B61" s="56" t="s">
        <v>168</v>
      </c>
      <c r="C61" s="56"/>
      <c r="D61" s="31"/>
      <c r="E61" s="31"/>
    </row>
    <row r="62" spans="1:5" x14ac:dyDescent="0.25">
      <c r="A62" s="296"/>
      <c r="B62" s="56" t="s">
        <v>169</v>
      </c>
      <c r="C62" s="56"/>
      <c r="D62" s="31"/>
      <c r="E62" s="31"/>
    </row>
    <row r="63" spans="1:5" x14ac:dyDescent="0.25">
      <c r="A63" s="296"/>
      <c r="B63" s="56" t="s">
        <v>171</v>
      </c>
      <c r="C63" s="31" t="s">
        <v>302</v>
      </c>
      <c r="D63" s="31">
        <v>45</v>
      </c>
      <c r="E63" s="31">
        <v>23</v>
      </c>
    </row>
    <row r="64" spans="1:5" x14ac:dyDescent="0.25">
      <c r="A64" s="296"/>
      <c r="B64" s="56" t="s">
        <v>170</v>
      </c>
      <c r="C64" s="31" t="s">
        <v>299</v>
      </c>
      <c r="D64" s="31">
        <v>1.5</v>
      </c>
      <c r="E64" s="31">
        <v>23</v>
      </c>
    </row>
    <row r="65" spans="1:5" x14ac:dyDescent="0.25">
      <c r="A65" s="296"/>
      <c r="B65" s="56" t="s">
        <v>172</v>
      </c>
      <c r="C65" s="31" t="s">
        <v>300</v>
      </c>
      <c r="D65" s="31">
        <v>15</v>
      </c>
      <c r="E65" s="31">
        <v>23</v>
      </c>
    </row>
    <row r="66" spans="1:5" x14ac:dyDescent="0.25">
      <c r="A66" s="296"/>
      <c r="B66" s="56" t="s">
        <v>228</v>
      </c>
      <c r="C66" s="31" t="s">
        <v>300</v>
      </c>
      <c r="D66" s="31">
        <v>5.5</v>
      </c>
      <c r="E66" s="31">
        <v>23</v>
      </c>
    </row>
    <row r="67" spans="1:5" x14ac:dyDescent="0.25">
      <c r="A67" s="296"/>
      <c r="B67" s="56"/>
      <c r="C67" s="31" t="s">
        <v>301</v>
      </c>
      <c r="D67" s="31">
        <v>110</v>
      </c>
      <c r="E67" s="31">
        <v>23</v>
      </c>
    </row>
    <row r="68" spans="1:5" x14ac:dyDescent="0.25">
      <c r="A68" s="296"/>
      <c r="B68" s="56"/>
      <c r="C68" s="31" t="s">
        <v>302</v>
      </c>
      <c r="D68" s="31">
        <v>11</v>
      </c>
      <c r="E68" s="31">
        <v>23</v>
      </c>
    </row>
    <row r="69" spans="1:5" x14ac:dyDescent="0.25">
      <c r="A69" s="296"/>
      <c r="B69" s="56" t="s">
        <v>229</v>
      </c>
      <c r="C69" s="31" t="s">
        <v>303</v>
      </c>
      <c r="D69" s="31">
        <v>2.2000000000000002</v>
      </c>
      <c r="E69" s="31">
        <v>23</v>
      </c>
    </row>
  </sheetData>
  <mergeCells count="13">
    <mergeCell ref="A47:A60"/>
    <mergeCell ref="A61:A69"/>
    <mergeCell ref="C3:C7"/>
    <mergeCell ref="C15:C18"/>
    <mergeCell ref="C27:C28"/>
    <mergeCell ref="B27:B28"/>
    <mergeCell ref="B29:B30"/>
    <mergeCell ref="C29:C30"/>
    <mergeCell ref="B33:B36"/>
    <mergeCell ref="B38:B46"/>
    <mergeCell ref="A3:A7"/>
    <mergeCell ref="A8:A30"/>
    <mergeCell ref="A31:A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843C-82DE-4826-9E44-2F8AABEAAD29}">
  <dimension ref="A1:V80"/>
  <sheetViews>
    <sheetView zoomScale="115" zoomScaleNormal="115" workbookViewId="0">
      <selection activeCell="J79" sqref="J79"/>
    </sheetView>
  </sheetViews>
  <sheetFormatPr baseColWidth="10" defaultRowHeight="15" x14ac:dyDescent="0.25"/>
  <cols>
    <col min="3" max="3" width="8.42578125" bestFit="1" customWidth="1"/>
    <col min="4" max="5" width="7.42578125" customWidth="1"/>
    <col min="6" max="6" width="23.7109375" customWidth="1"/>
    <col min="7" max="7" width="14" bestFit="1" customWidth="1"/>
    <col min="8" max="8" width="15" bestFit="1" customWidth="1"/>
    <col min="9" max="9" width="8.42578125" bestFit="1" customWidth="1"/>
    <col min="11" max="11" width="2.7109375" customWidth="1"/>
    <col min="12" max="12" width="8.85546875" customWidth="1"/>
    <col min="14" max="16" width="7.28515625" customWidth="1"/>
    <col min="17" max="17" width="23.85546875" customWidth="1"/>
    <col min="18" max="18" width="12.140625" bestFit="1" customWidth="1"/>
    <col min="19" max="19" width="15" bestFit="1" customWidth="1"/>
    <col min="20" max="20" width="7.28515625" customWidth="1"/>
  </cols>
  <sheetData>
    <row r="1" spans="1:22" ht="18.75" x14ac:dyDescent="0.3">
      <c r="A1" s="317" t="s">
        <v>177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</row>
    <row r="2" spans="1:22" ht="21" x14ac:dyDescent="0.35">
      <c r="A2" s="316" t="s">
        <v>173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</row>
    <row r="3" spans="1:22" x14ac:dyDescent="0.25">
      <c r="A3" s="314" t="s">
        <v>174</v>
      </c>
      <c r="B3" s="285"/>
      <c r="C3" s="285"/>
      <c r="D3" s="285"/>
      <c r="E3" s="285"/>
      <c r="F3" s="285"/>
      <c r="G3" s="285"/>
      <c r="H3" s="285"/>
      <c r="I3" s="285"/>
      <c r="J3" s="285"/>
      <c r="K3" s="315"/>
      <c r="L3" s="314" t="s">
        <v>185</v>
      </c>
      <c r="M3" s="285"/>
      <c r="N3" s="285"/>
      <c r="O3" s="285"/>
      <c r="P3" s="285"/>
      <c r="Q3" s="285"/>
      <c r="R3" s="285"/>
      <c r="S3" s="285"/>
      <c r="T3" s="285"/>
      <c r="U3" s="285"/>
      <c r="V3" s="315"/>
    </row>
    <row r="4" spans="1:22" ht="49.5" customHeight="1" thickBot="1" x14ac:dyDescent="0.3">
      <c r="A4" s="37"/>
      <c r="B4" s="2"/>
      <c r="C4" s="306" t="s">
        <v>175</v>
      </c>
      <c r="D4" s="306"/>
      <c r="E4" s="306"/>
      <c r="F4" s="2"/>
      <c r="G4" s="306" t="s">
        <v>176</v>
      </c>
      <c r="H4" s="306"/>
      <c r="I4" s="306"/>
      <c r="J4" s="2"/>
      <c r="K4" s="2"/>
      <c r="L4" s="37"/>
      <c r="M4" s="2"/>
      <c r="N4" s="306" t="s">
        <v>175</v>
      </c>
      <c r="O4" s="306"/>
      <c r="P4" s="306"/>
      <c r="Q4" s="2"/>
      <c r="R4" s="306" t="s">
        <v>184</v>
      </c>
      <c r="S4" s="306"/>
      <c r="T4" s="306"/>
      <c r="U4" s="2"/>
      <c r="V4" s="38"/>
    </row>
    <row r="5" spans="1:22" ht="21" customHeight="1" thickBot="1" x14ac:dyDescent="0.3">
      <c r="A5" s="37"/>
      <c r="B5" s="50">
        <v>0.01</v>
      </c>
      <c r="C5" s="39"/>
      <c r="D5" s="39" t="s">
        <v>2</v>
      </c>
      <c r="E5" s="39"/>
      <c r="F5" s="320" t="s">
        <v>176</v>
      </c>
      <c r="G5" s="39"/>
      <c r="H5" s="42" t="s">
        <v>3</v>
      </c>
      <c r="I5" s="39"/>
      <c r="J5" s="49">
        <f>F12</f>
        <v>10000</v>
      </c>
      <c r="K5" s="2"/>
      <c r="L5" s="37"/>
      <c r="M5" s="50">
        <v>0.01</v>
      </c>
      <c r="N5" s="39"/>
      <c r="O5" s="39" t="s">
        <v>2</v>
      </c>
      <c r="P5" s="39"/>
      <c r="Q5" s="318" t="s">
        <v>176</v>
      </c>
      <c r="R5" s="39"/>
      <c r="S5" s="42" t="s">
        <v>4</v>
      </c>
      <c r="T5" s="39"/>
      <c r="U5" s="49">
        <f>Q12</f>
        <v>10250</v>
      </c>
      <c r="V5" s="38"/>
    </row>
    <row r="6" spans="1:22" ht="14.25" customHeight="1" thickBot="1" x14ac:dyDescent="0.3">
      <c r="A6" s="37"/>
      <c r="B6" s="2"/>
      <c r="C6" s="2"/>
      <c r="D6" s="45">
        <f>F10</f>
        <v>40000</v>
      </c>
      <c r="E6" s="2"/>
      <c r="F6" s="321"/>
      <c r="G6" s="2"/>
      <c r="H6" s="45">
        <f>F10</f>
        <v>40000</v>
      </c>
      <c r="I6" s="2"/>
      <c r="J6" s="2"/>
      <c r="K6" s="2"/>
      <c r="L6" s="37"/>
      <c r="M6" s="2"/>
      <c r="N6" s="2"/>
      <c r="O6" s="45">
        <f>Q10</f>
        <v>40000</v>
      </c>
      <c r="P6" s="2"/>
      <c r="Q6" s="319"/>
      <c r="R6" s="2"/>
      <c r="S6" s="45">
        <f>Q10</f>
        <v>40000</v>
      </c>
      <c r="T6" s="2"/>
      <c r="U6" s="2"/>
      <c r="V6" s="38"/>
    </row>
    <row r="7" spans="1:22" ht="14.25" customHeight="1" x14ac:dyDescent="0.25">
      <c r="A7" s="37"/>
      <c r="B7" s="2"/>
      <c r="C7" s="2"/>
      <c r="D7" s="2"/>
      <c r="E7" s="2"/>
      <c r="F7" s="48">
        <f>F11</f>
        <v>400000000</v>
      </c>
      <c r="G7" s="2"/>
      <c r="H7" s="2"/>
      <c r="I7" s="2"/>
      <c r="J7" s="2"/>
      <c r="K7" s="2"/>
      <c r="L7" s="37"/>
      <c r="M7" s="2"/>
      <c r="N7" s="2"/>
      <c r="O7" s="2"/>
      <c r="P7" s="2"/>
      <c r="Q7" s="48">
        <f>Q11</f>
        <v>410000000</v>
      </c>
      <c r="R7" s="2"/>
      <c r="S7" s="2"/>
      <c r="T7" s="2"/>
      <c r="U7" s="2"/>
      <c r="V7" s="38"/>
    </row>
    <row r="8" spans="1:22" ht="16.5" customHeight="1" x14ac:dyDescent="0.25">
      <c r="A8" s="37"/>
      <c r="B8" s="2"/>
      <c r="C8" s="2"/>
      <c r="D8" s="2"/>
      <c r="E8" s="2"/>
      <c r="F8" s="2"/>
      <c r="G8" s="2"/>
      <c r="H8" s="2"/>
      <c r="I8" s="2"/>
      <c r="J8" s="2"/>
      <c r="K8" s="2"/>
      <c r="L8" s="37"/>
      <c r="M8" s="2"/>
      <c r="N8" s="2"/>
      <c r="O8" s="2"/>
      <c r="P8" s="2"/>
      <c r="Q8" s="2"/>
      <c r="R8" s="2"/>
      <c r="S8" s="2"/>
      <c r="T8" s="2"/>
      <c r="U8" s="2"/>
      <c r="V8" s="38"/>
    </row>
    <row r="9" spans="1:22" ht="16.5" customHeight="1" x14ac:dyDescent="0.25">
      <c r="A9" s="37"/>
      <c r="B9" s="2"/>
      <c r="C9" s="2"/>
      <c r="D9" s="2"/>
      <c r="E9" s="207" t="s">
        <v>183</v>
      </c>
      <c r="F9" s="207"/>
      <c r="G9" s="2"/>
      <c r="H9" s="2"/>
      <c r="I9" s="2"/>
      <c r="J9" s="2"/>
      <c r="K9" s="2"/>
      <c r="L9" s="37"/>
      <c r="M9" s="2"/>
      <c r="N9" s="2"/>
      <c r="O9" s="2"/>
      <c r="P9" s="207" t="s">
        <v>183</v>
      </c>
      <c r="Q9" s="207"/>
      <c r="R9" s="2"/>
      <c r="S9" s="2"/>
      <c r="T9" s="2"/>
      <c r="U9" s="2"/>
      <c r="V9" s="38"/>
    </row>
    <row r="10" spans="1:22" x14ac:dyDescent="0.25">
      <c r="A10" s="301" t="s">
        <v>180</v>
      </c>
      <c r="B10" s="302"/>
      <c r="C10" s="302"/>
      <c r="D10" s="2"/>
      <c r="E10" s="12" t="s">
        <v>23</v>
      </c>
      <c r="F10" s="41">
        <v>40000</v>
      </c>
      <c r="G10" s="2"/>
      <c r="H10" s="2"/>
      <c r="I10" s="2"/>
      <c r="J10" s="2"/>
      <c r="K10" s="2"/>
      <c r="L10" s="301" t="s">
        <v>180</v>
      </c>
      <c r="M10" s="302"/>
      <c r="N10" s="302"/>
      <c r="O10" s="2"/>
      <c r="P10" s="12" t="s">
        <v>23</v>
      </c>
      <c r="Q10" s="41">
        <v>40000</v>
      </c>
      <c r="R10" s="2"/>
      <c r="S10" s="2"/>
      <c r="T10" s="2"/>
      <c r="U10" s="2"/>
      <c r="V10" s="38"/>
    </row>
    <row r="11" spans="1:22" x14ac:dyDescent="0.25">
      <c r="A11" s="301" t="s">
        <v>181</v>
      </c>
      <c r="B11" s="302"/>
      <c r="C11" s="302"/>
      <c r="D11" s="2"/>
      <c r="E11" s="12" t="s">
        <v>178</v>
      </c>
      <c r="F11" s="33">
        <v>400000000</v>
      </c>
      <c r="G11" s="2"/>
      <c r="H11" s="2"/>
      <c r="I11" s="2"/>
      <c r="J11" s="2"/>
      <c r="K11" s="2"/>
      <c r="L11" s="301" t="s">
        <v>181</v>
      </c>
      <c r="M11" s="302"/>
      <c r="N11" s="302"/>
      <c r="O11" s="2"/>
      <c r="P11" s="12" t="s">
        <v>178</v>
      </c>
      <c r="Q11" s="33">
        <v>410000000</v>
      </c>
      <c r="R11" s="2"/>
      <c r="S11" s="2"/>
      <c r="T11" s="2"/>
      <c r="U11" s="2"/>
      <c r="V11" s="38"/>
    </row>
    <row r="12" spans="1:22" x14ac:dyDescent="0.25">
      <c r="A12" s="301" t="s">
        <v>182</v>
      </c>
      <c r="B12" s="302"/>
      <c r="C12" s="302"/>
      <c r="D12" s="2"/>
      <c r="E12" s="12" t="s">
        <v>179</v>
      </c>
      <c r="F12" s="33">
        <f>+F11/F10</f>
        <v>10000</v>
      </c>
      <c r="G12" s="2"/>
      <c r="H12" s="2"/>
      <c r="I12" s="2"/>
      <c r="J12" s="2"/>
      <c r="K12" s="2"/>
      <c r="L12" s="301" t="s">
        <v>182</v>
      </c>
      <c r="M12" s="302"/>
      <c r="N12" s="302"/>
      <c r="O12" s="2"/>
      <c r="P12" s="12" t="s">
        <v>179</v>
      </c>
      <c r="Q12" s="33">
        <f>+Q11/Q10</f>
        <v>10250</v>
      </c>
      <c r="R12" s="2"/>
      <c r="S12" s="2"/>
      <c r="T12" s="2"/>
      <c r="U12" s="2"/>
      <c r="V12" s="38"/>
    </row>
    <row r="13" spans="1:22" x14ac:dyDescent="0.25">
      <c r="A13" s="37"/>
      <c r="B13" s="2"/>
      <c r="C13" s="2"/>
      <c r="D13" s="2"/>
      <c r="E13" s="2"/>
      <c r="F13" s="2"/>
      <c r="G13" s="2"/>
      <c r="H13" s="2"/>
      <c r="I13" s="2"/>
      <c r="J13" s="2"/>
      <c r="K13" s="2"/>
      <c r="L13" s="37"/>
      <c r="M13" s="2"/>
      <c r="N13" s="2"/>
      <c r="O13" s="2"/>
      <c r="P13" s="2"/>
      <c r="Q13" s="2"/>
      <c r="R13" s="2"/>
      <c r="S13" s="2"/>
      <c r="T13" s="2"/>
      <c r="U13" s="2"/>
      <c r="V13" s="38"/>
    </row>
    <row r="14" spans="1:22" ht="15.75" thickBot="1" x14ac:dyDescent="0.3">
      <c r="A14" s="43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3"/>
      <c r="M14" s="39"/>
      <c r="N14" s="39"/>
      <c r="O14" s="39"/>
      <c r="P14" s="39"/>
      <c r="Q14" s="39"/>
      <c r="R14" s="39"/>
      <c r="S14" s="39"/>
      <c r="T14" s="39"/>
      <c r="U14" s="39"/>
      <c r="V14" s="44"/>
    </row>
    <row r="15" spans="1:22" ht="21" x14ac:dyDescent="0.35">
      <c r="A15" s="322" t="s">
        <v>196</v>
      </c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4"/>
    </row>
    <row r="16" spans="1:22" x14ac:dyDescent="0.25">
      <c r="A16" s="314" t="s">
        <v>192</v>
      </c>
      <c r="B16" s="285"/>
      <c r="C16" s="285"/>
      <c r="D16" s="285"/>
      <c r="E16" s="285"/>
      <c r="F16" s="285"/>
      <c r="G16" s="285"/>
      <c r="H16" s="285"/>
      <c r="I16" s="285"/>
      <c r="J16" s="285"/>
      <c r="K16" s="315"/>
      <c r="L16" s="314" t="s">
        <v>193</v>
      </c>
      <c r="M16" s="285"/>
      <c r="N16" s="285"/>
      <c r="O16" s="285"/>
      <c r="P16" s="285"/>
      <c r="Q16" s="285"/>
      <c r="R16" s="285"/>
      <c r="S16" s="285"/>
      <c r="T16" s="285"/>
      <c r="U16" s="285"/>
      <c r="V16" s="315"/>
    </row>
    <row r="17" spans="1:22" ht="41.25" customHeight="1" thickBot="1" x14ac:dyDescent="0.3">
      <c r="A17" s="37"/>
      <c r="B17" s="325" t="s">
        <v>176</v>
      </c>
      <c r="C17" s="325"/>
      <c r="D17" s="11"/>
      <c r="E17" s="11"/>
      <c r="F17" s="40" t="s">
        <v>184</v>
      </c>
      <c r="G17" s="34"/>
      <c r="H17" s="40"/>
      <c r="I17" s="306" t="s">
        <v>190</v>
      </c>
      <c r="J17" s="306"/>
      <c r="K17" s="2"/>
      <c r="L17" s="37"/>
      <c r="M17" s="2"/>
      <c r="N17" s="306" t="s">
        <v>187</v>
      </c>
      <c r="O17" s="306"/>
      <c r="P17" s="306"/>
      <c r="Q17" s="2"/>
      <c r="R17" s="306" t="s">
        <v>190</v>
      </c>
      <c r="S17" s="306"/>
      <c r="T17" s="306"/>
      <c r="U17" s="2"/>
      <c r="V17" s="38"/>
    </row>
    <row r="18" spans="1:22" ht="15.75" customHeight="1" thickBot="1" x14ac:dyDescent="0.3">
      <c r="A18" s="37"/>
      <c r="B18" s="50">
        <v>0.01</v>
      </c>
      <c r="C18" s="42" t="s">
        <v>3</v>
      </c>
      <c r="D18" s="328" t="s">
        <v>188</v>
      </c>
      <c r="E18" s="329"/>
      <c r="F18" s="46" t="s">
        <v>4</v>
      </c>
      <c r="G18" s="332" t="s">
        <v>191</v>
      </c>
      <c r="H18" s="333"/>
      <c r="I18" s="42" t="s">
        <v>5</v>
      </c>
      <c r="J18" s="49">
        <f>F25</f>
        <v>1000</v>
      </c>
      <c r="K18" s="2"/>
      <c r="L18" s="37"/>
      <c r="M18" s="50">
        <v>0.01</v>
      </c>
      <c r="N18" s="39"/>
      <c r="O18" s="42" t="s">
        <v>4</v>
      </c>
      <c r="P18" s="39"/>
      <c r="Q18" s="326" t="s">
        <v>191</v>
      </c>
      <c r="R18" s="39"/>
      <c r="S18" s="42" t="s">
        <v>5</v>
      </c>
      <c r="T18" s="39"/>
      <c r="U18" s="49">
        <f>Q25</f>
        <v>600</v>
      </c>
      <c r="V18" s="38"/>
    </row>
    <row r="19" spans="1:22" ht="15.75" thickBot="1" x14ac:dyDescent="0.3">
      <c r="A19" s="37"/>
      <c r="B19" s="47"/>
      <c r="C19" s="47">
        <v>40000</v>
      </c>
      <c r="D19" s="330"/>
      <c r="E19" s="331"/>
      <c r="F19" s="47">
        <v>40000</v>
      </c>
      <c r="G19" s="334"/>
      <c r="H19" s="335"/>
      <c r="I19" s="47">
        <f>F23</f>
        <v>25000</v>
      </c>
      <c r="J19" s="2"/>
      <c r="K19" s="2"/>
      <c r="L19" s="37"/>
      <c r="M19" s="2"/>
      <c r="N19" s="2"/>
      <c r="O19" s="2"/>
      <c r="P19" s="45">
        <v>40000</v>
      </c>
      <c r="Q19" s="327"/>
      <c r="R19" s="2"/>
      <c r="S19" s="2"/>
      <c r="T19" s="45">
        <f>Q23</f>
        <v>25000</v>
      </c>
      <c r="U19" s="2"/>
      <c r="V19" s="38"/>
    </row>
    <row r="20" spans="1:22" x14ac:dyDescent="0.25">
      <c r="A20" s="37"/>
      <c r="B20" s="47"/>
      <c r="C20" s="47"/>
      <c r="D20" s="336">
        <f>Q11-F11</f>
        <v>10000000</v>
      </c>
      <c r="E20" s="336"/>
      <c r="F20" s="47"/>
      <c r="G20" s="336">
        <v>15000000</v>
      </c>
      <c r="H20" s="336"/>
      <c r="I20" s="47"/>
      <c r="J20" s="2"/>
      <c r="K20" s="2"/>
      <c r="L20" s="37"/>
      <c r="M20" s="2"/>
      <c r="N20" s="2"/>
      <c r="O20" s="2"/>
      <c r="P20" s="45"/>
      <c r="Q20" s="48">
        <f>Q24</f>
        <v>15000000</v>
      </c>
      <c r="R20" s="2"/>
      <c r="S20" s="2"/>
      <c r="T20" s="45"/>
      <c r="U20" s="2"/>
      <c r="V20" s="38"/>
    </row>
    <row r="21" spans="1:22" x14ac:dyDescent="0.25">
      <c r="A21" s="37"/>
      <c r="C21" s="2"/>
      <c r="D21" s="2"/>
      <c r="E21" s="2"/>
      <c r="F21" s="2"/>
      <c r="G21" s="2"/>
      <c r="H21" s="2"/>
      <c r="I21" s="2"/>
      <c r="J21" s="2"/>
      <c r="K21" s="2"/>
      <c r="L21" s="37"/>
      <c r="M21" s="2"/>
      <c r="N21" s="2"/>
      <c r="O21" s="2"/>
      <c r="P21" s="2"/>
      <c r="Q21" s="2"/>
      <c r="R21" s="2"/>
      <c r="S21" s="2"/>
      <c r="T21" s="2"/>
      <c r="U21" s="2"/>
      <c r="V21" s="38"/>
    </row>
    <row r="22" spans="1:22" x14ac:dyDescent="0.25">
      <c r="A22" s="37"/>
      <c r="B22" s="2"/>
      <c r="C22" s="2"/>
      <c r="D22" s="2"/>
      <c r="E22" s="207" t="s">
        <v>183</v>
      </c>
      <c r="F22" s="207"/>
      <c r="G22" s="2"/>
      <c r="H22" s="2"/>
      <c r="I22" s="2"/>
      <c r="J22" s="2"/>
      <c r="K22" s="2"/>
      <c r="L22" s="37"/>
      <c r="M22" s="2"/>
      <c r="N22" s="2"/>
      <c r="O22" s="2"/>
      <c r="P22" s="207" t="s">
        <v>183</v>
      </c>
      <c r="Q22" s="207"/>
      <c r="R22" s="2"/>
      <c r="S22" s="2"/>
      <c r="T22" s="2"/>
      <c r="U22" s="2"/>
      <c r="V22" s="38"/>
    </row>
    <row r="23" spans="1:22" x14ac:dyDescent="0.25">
      <c r="A23" s="301" t="s">
        <v>180</v>
      </c>
      <c r="B23" s="302"/>
      <c r="C23" s="302"/>
      <c r="D23" s="2"/>
      <c r="E23" s="12" t="s">
        <v>23</v>
      </c>
      <c r="F23" s="41">
        <v>25000</v>
      </c>
      <c r="G23" s="2"/>
      <c r="H23" s="2"/>
      <c r="I23" s="2"/>
      <c r="J23" s="2"/>
      <c r="K23" s="2"/>
      <c r="L23" s="301" t="s">
        <v>180</v>
      </c>
      <c r="M23" s="302"/>
      <c r="N23" s="302"/>
      <c r="O23" s="2"/>
      <c r="P23" s="12" t="s">
        <v>23</v>
      </c>
      <c r="Q23" s="41">
        <v>25000</v>
      </c>
      <c r="R23" s="2"/>
      <c r="S23" s="2"/>
      <c r="T23" s="2"/>
      <c r="U23" s="2"/>
      <c r="V23" s="38"/>
    </row>
    <row r="24" spans="1:22" x14ac:dyDescent="0.25">
      <c r="A24" s="301" t="s">
        <v>181</v>
      </c>
      <c r="B24" s="302"/>
      <c r="C24" s="302"/>
      <c r="D24" s="2"/>
      <c r="E24" s="12" t="s">
        <v>178</v>
      </c>
      <c r="F24" s="33">
        <v>25000000</v>
      </c>
      <c r="G24" s="2"/>
      <c r="H24" s="2"/>
      <c r="I24" s="2"/>
      <c r="J24" s="2"/>
      <c r="K24" s="2"/>
      <c r="L24" s="301" t="s">
        <v>181</v>
      </c>
      <c r="M24" s="302"/>
      <c r="N24" s="302"/>
      <c r="O24" s="2"/>
      <c r="P24" s="12" t="s">
        <v>178</v>
      </c>
      <c r="Q24" s="33">
        <v>15000000</v>
      </c>
      <c r="R24" s="2"/>
      <c r="S24" s="2"/>
      <c r="T24" s="2"/>
      <c r="U24" s="2"/>
      <c r="V24" s="38"/>
    </row>
    <row r="25" spans="1:22" x14ac:dyDescent="0.25">
      <c r="A25" s="301" t="s">
        <v>182</v>
      </c>
      <c r="B25" s="302"/>
      <c r="C25" s="302"/>
      <c r="D25" s="2"/>
      <c r="E25" s="12" t="s">
        <v>179</v>
      </c>
      <c r="F25" s="33">
        <f>+F24/F23</f>
        <v>1000</v>
      </c>
      <c r="G25" s="2"/>
      <c r="H25" s="2"/>
      <c r="I25" s="2"/>
      <c r="J25" s="2"/>
      <c r="K25" s="2"/>
      <c r="L25" s="301" t="s">
        <v>182</v>
      </c>
      <c r="M25" s="302"/>
      <c r="N25" s="302"/>
      <c r="O25" s="2"/>
      <c r="P25" s="12" t="s">
        <v>179</v>
      </c>
      <c r="Q25" s="33">
        <f>+Q24/Q23</f>
        <v>600</v>
      </c>
      <c r="R25" s="2"/>
      <c r="S25" s="2"/>
      <c r="T25" s="2"/>
      <c r="U25" s="2"/>
      <c r="V25" s="38"/>
    </row>
    <row r="26" spans="1:22" x14ac:dyDescent="0.25">
      <c r="A26" s="37"/>
      <c r="B26" s="2"/>
      <c r="C26" s="2"/>
      <c r="D26" s="2"/>
      <c r="E26" s="2"/>
      <c r="F26" s="2"/>
      <c r="G26" s="2"/>
      <c r="H26" s="2"/>
      <c r="I26" s="2"/>
      <c r="J26" s="2"/>
      <c r="K26" s="2"/>
      <c r="L26" s="37"/>
      <c r="M26" s="2"/>
      <c r="N26" s="2"/>
      <c r="O26" s="2"/>
      <c r="P26" s="2"/>
      <c r="Q26" s="2"/>
      <c r="R26" s="2"/>
      <c r="S26" s="2"/>
      <c r="T26" s="2"/>
      <c r="U26" s="2"/>
      <c r="V26" s="38"/>
    </row>
    <row r="27" spans="1:22" ht="15.75" thickBot="1" x14ac:dyDescent="0.3">
      <c r="A27" s="43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3"/>
      <c r="M27" s="39"/>
      <c r="N27" s="39"/>
      <c r="O27" s="39"/>
      <c r="P27" s="39"/>
      <c r="Q27" s="39"/>
      <c r="R27" s="39"/>
      <c r="S27" s="39"/>
      <c r="T27" s="39"/>
      <c r="U27" s="39"/>
      <c r="V27" s="44"/>
    </row>
    <row r="28" spans="1:22" ht="21.75" thickBot="1" x14ac:dyDescent="0.4">
      <c r="A28" s="337" t="s">
        <v>195</v>
      </c>
      <c r="B28" s="338"/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9"/>
    </row>
    <row r="29" spans="1:22" x14ac:dyDescent="0.25">
      <c r="A29" s="314" t="s">
        <v>197</v>
      </c>
      <c r="B29" s="285"/>
      <c r="C29" s="285"/>
      <c r="D29" s="285"/>
      <c r="E29" s="285"/>
      <c r="F29" s="285"/>
      <c r="G29" s="285"/>
      <c r="H29" s="285"/>
      <c r="I29" s="285"/>
      <c r="J29" s="285"/>
      <c r="K29" s="315"/>
      <c r="L29" s="314" t="s">
        <v>198</v>
      </c>
      <c r="M29" s="285"/>
      <c r="N29" s="285"/>
      <c r="O29" s="285"/>
      <c r="P29" s="285"/>
      <c r="Q29" s="285"/>
      <c r="R29" s="285"/>
      <c r="S29" s="285"/>
      <c r="T29" s="285"/>
      <c r="U29" s="285"/>
      <c r="V29" s="315"/>
    </row>
    <row r="30" spans="1:22" ht="23.25" customHeight="1" x14ac:dyDescent="0.25">
      <c r="A30" s="3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35"/>
      <c r="M30" s="22"/>
      <c r="N30" s="22"/>
      <c r="O30" s="22"/>
      <c r="P30" s="22"/>
      <c r="Q30" s="22"/>
      <c r="R30" s="22"/>
      <c r="S30" s="22"/>
      <c r="T30" s="22"/>
      <c r="U30" s="22"/>
      <c r="V30" s="36"/>
    </row>
    <row r="31" spans="1:22" ht="15.75" thickBot="1" x14ac:dyDescent="0.3">
      <c r="A31" s="37"/>
      <c r="B31" s="325" t="s">
        <v>176</v>
      </c>
      <c r="C31" s="325"/>
      <c r="D31" s="11"/>
      <c r="E31" s="11"/>
      <c r="F31" s="40" t="s">
        <v>184</v>
      </c>
      <c r="G31" s="34"/>
      <c r="H31" s="40"/>
      <c r="I31" s="306" t="s">
        <v>186</v>
      </c>
      <c r="J31" s="306"/>
      <c r="K31" s="2"/>
      <c r="L31" s="37"/>
      <c r="M31" s="2"/>
      <c r="N31" s="306" t="s">
        <v>187</v>
      </c>
      <c r="O31" s="306"/>
      <c r="P31" s="306"/>
      <c r="Q31" s="2"/>
      <c r="R31" s="306" t="s">
        <v>186</v>
      </c>
      <c r="S31" s="306"/>
      <c r="T31" s="306"/>
      <c r="U31" s="2"/>
      <c r="V31" s="38"/>
    </row>
    <row r="32" spans="1:22" ht="15.75" thickBot="1" x14ac:dyDescent="0.3">
      <c r="A32" s="37"/>
      <c r="B32" s="50">
        <v>0.01</v>
      </c>
      <c r="C32" s="42" t="s">
        <v>3</v>
      </c>
      <c r="D32" s="328" t="s">
        <v>188</v>
      </c>
      <c r="E32" s="329"/>
      <c r="F32" s="46" t="s">
        <v>4</v>
      </c>
      <c r="G32" s="340" t="s">
        <v>189</v>
      </c>
      <c r="H32" s="341"/>
      <c r="I32" s="42" t="s">
        <v>8</v>
      </c>
      <c r="J32" s="49">
        <f>F39</f>
        <v>1785.7142857142858</v>
      </c>
      <c r="K32" s="2"/>
      <c r="L32" s="37"/>
      <c r="M32" s="50">
        <v>0.01</v>
      </c>
      <c r="N32" s="39"/>
      <c r="O32" s="42" t="s">
        <v>4</v>
      </c>
      <c r="P32" s="39"/>
      <c r="Q32" s="344" t="s">
        <v>189</v>
      </c>
      <c r="R32" s="39"/>
      <c r="S32" s="42" t="s">
        <v>8</v>
      </c>
      <c r="T32" s="39"/>
      <c r="U32" s="49">
        <f>Q39</f>
        <v>1071.4285714285713</v>
      </c>
      <c r="V32" s="38"/>
    </row>
    <row r="33" spans="1:22" ht="15.75" thickBot="1" x14ac:dyDescent="0.3">
      <c r="A33" s="37"/>
      <c r="B33" s="47"/>
      <c r="C33" s="47">
        <v>40000</v>
      </c>
      <c r="D33" s="330"/>
      <c r="E33" s="331"/>
      <c r="F33" s="47">
        <v>40000</v>
      </c>
      <c r="G33" s="342"/>
      <c r="H33" s="343"/>
      <c r="I33" s="47">
        <f>F37</f>
        <v>14000</v>
      </c>
      <c r="J33" s="2"/>
      <c r="K33" s="2"/>
      <c r="L33" s="37"/>
      <c r="M33" s="2"/>
      <c r="N33" s="2"/>
      <c r="O33" s="2"/>
      <c r="P33" s="45">
        <v>40000</v>
      </c>
      <c r="Q33" s="345"/>
      <c r="R33" s="2"/>
      <c r="S33" s="2"/>
      <c r="T33" s="45">
        <f>Q37</f>
        <v>14000</v>
      </c>
      <c r="U33" s="2"/>
      <c r="V33" s="38"/>
    </row>
    <row r="34" spans="1:22" x14ac:dyDescent="0.25">
      <c r="A34" s="37"/>
      <c r="B34" s="47"/>
      <c r="C34" s="47"/>
      <c r="D34" s="336">
        <f>Q11-F11</f>
        <v>10000000</v>
      </c>
      <c r="E34" s="336"/>
      <c r="F34" s="47"/>
      <c r="G34" s="336">
        <v>15000000</v>
      </c>
      <c r="H34" s="336"/>
      <c r="I34" s="47"/>
      <c r="J34" s="2"/>
      <c r="K34" s="2"/>
      <c r="L34" s="37"/>
      <c r="M34" s="2"/>
      <c r="N34" s="2"/>
      <c r="O34" s="2"/>
      <c r="P34" s="45"/>
      <c r="Q34" s="48">
        <f>Q38</f>
        <v>15000000</v>
      </c>
      <c r="R34" s="2"/>
      <c r="S34" s="2"/>
      <c r="T34" s="45"/>
      <c r="U34" s="2"/>
      <c r="V34" s="38"/>
    </row>
    <row r="35" spans="1:22" x14ac:dyDescent="0.25">
      <c r="A35" s="37"/>
      <c r="C35" s="2"/>
      <c r="D35" s="2"/>
      <c r="E35" s="2"/>
      <c r="F35" s="2"/>
      <c r="G35" s="2"/>
      <c r="H35" s="2"/>
      <c r="I35" s="2"/>
      <c r="J35" s="2"/>
      <c r="K35" s="2"/>
      <c r="L35" s="37"/>
      <c r="M35" s="2"/>
      <c r="N35" s="2"/>
      <c r="O35" s="2"/>
      <c r="P35" s="2"/>
      <c r="Q35" s="2"/>
      <c r="R35" s="2"/>
      <c r="S35" s="2"/>
      <c r="T35" s="2"/>
      <c r="U35" s="2"/>
      <c r="V35" s="38"/>
    </row>
    <row r="36" spans="1:22" x14ac:dyDescent="0.25">
      <c r="A36" s="37"/>
      <c r="B36" s="2"/>
      <c r="C36" s="2"/>
      <c r="D36" s="2"/>
      <c r="E36" s="207" t="s">
        <v>183</v>
      </c>
      <c r="F36" s="207"/>
      <c r="G36" s="2"/>
      <c r="H36" s="2"/>
      <c r="I36" s="2"/>
      <c r="J36" s="2"/>
      <c r="K36" s="2"/>
      <c r="L36" s="37"/>
      <c r="M36" s="2"/>
      <c r="N36" s="2"/>
      <c r="O36" s="2"/>
      <c r="P36" s="207" t="s">
        <v>183</v>
      </c>
      <c r="Q36" s="207"/>
      <c r="R36" s="2"/>
      <c r="S36" s="2"/>
      <c r="T36" s="2"/>
      <c r="U36" s="2"/>
      <c r="V36" s="38"/>
    </row>
    <row r="37" spans="1:22" x14ac:dyDescent="0.25">
      <c r="A37" s="301" t="s">
        <v>180</v>
      </c>
      <c r="B37" s="302"/>
      <c r="C37" s="302"/>
      <c r="D37" s="2"/>
      <c r="E37" s="12" t="s">
        <v>23</v>
      </c>
      <c r="F37" s="41">
        <v>14000</v>
      </c>
      <c r="G37" s="2"/>
      <c r="H37" s="2"/>
      <c r="I37" s="2"/>
      <c r="J37" s="2"/>
      <c r="K37" s="2"/>
      <c r="L37" s="301" t="s">
        <v>180</v>
      </c>
      <c r="M37" s="302"/>
      <c r="N37" s="302"/>
      <c r="O37" s="2"/>
      <c r="P37" s="12" t="s">
        <v>23</v>
      </c>
      <c r="Q37" s="41">
        <v>14000</v>
      </c>
      <c r="R37" s="2"/>
      <c r="S37" s="2"/>
      <c r="T37" s="2"/>
      <c r="U37" s="2"/>
      <c r="V37" s="38"/>
    </row>
    <row r="38" spans="1:22" x14ac:dyDescent="0.25">
      <c r="A38" s="301" t="s">
        <v>181</v>
      </c>
      <c r="B38" s="302"/>
      <c r="C38" s="302"/>
      <c r="D38" s="2"/>
      <c r="E38" s="12" t="s">
        <v>178</v>
      </c>
      <c r="F38" s="33">
        <v>25000000</v>
      </c>
      <c r="G38" s="2"/>
      <c r="H38" s="2"/>
      <c r="I38" s="2"/>
      <c r="J38" s="2"/>
      <c r="K38" s="2"/>
      <c r="L38" s="301" t="s">
        <v>181</v>
      </c>
      <c r="M38" s="302"/>
      <c r="N38" s="302"/>
      <c r="O38" s="2"/>
      <c r="P38" s="12" t="s">
        <v>178</v>
      </c>
      <c r="Q38" s="33">
        <v>15000000</v>
      </c>
      <c r="R38" s="2"/>
      <c r="S38" s="2"/>
      <c r="T38" s="2"/>
      <c r="U38" s="2"/>
      <c r="V38" s="38"/>
    </row>
    <row r="39" spans="1:22" x14ac:dyDescent="0.25">
      <c r="A39" s="301" t="s">
        <v>182</v>
      </c>
      <c r="B39" s="302"/>
      <c r="C39" s="302"/>
      <c r="D39" s="2"/>
      <c r="E39" s="12" t="s">
        <v>179</v>
      </c>
      <c r="F39" s="33">
        <f>+F38/F37</f>
        <v>1785.7142857142858</v>
      </c>
      <c r="G39" s="2"/>
      <c r="H39" s="2"/>
      <c r="I39" s="2"/>
      <c r="J39" s="2"/>
      <c r="K39" s="2"/>
      <c r="L39" s="301" t="s">
        <v>182</v>
      </c>
      <c r="M39" s="302"/>
      <c r="N39" s="302"/>
      <c r="O39" s="2"/>
      <c r="P39" s="12" t="s">
        <v>179</v>
      </c>
      <c r="Q39" s="33">
        <f>+Q38/Q37</f>
        <v>1071.4285714285713</v>
      </c>
      <c r="R39" s="2"/>
      <c r="S39" s="2"/>
      <c r="T39" s="2"/>
      <c r="U39" s="2"/>
      <c r="V39" s="38"/>
    </row>
    <row r="40" spans="1:22" x14ac:dyDescent="0.25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37"/>
      <c r="M40" s="2"/>
      <c r="N40" s="2"/>
      <c r="O40" s="2"/>
      <c r="P40" s="2"/>
      <c r="Q40" s="2"/>
      <c r="R40" s="2"/>
      <c r="S40" s="2"/>
      <c r="T40" s="2"/>
      <c r="U40" s="2"/>
      <c r="V40" s="38"/>
    </row>
    <row r="41" spans="1:22" ht="15.75" thickBot="1" x14ac:dyDescent="0.3">
      <c r="A41" s="43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43"/>
      <c r="M41" s="39"/>
      <c r="N41" s="39"/>
      <c r="O41" s="39"/>
      <c r="P41" s="39"/>
      <c r="Q41" s="39"/>
      <c r="R41" s="39"/>
      <c r="S41" s="39"/>
      <c r="T41" s="39"/>
      <c r="U41" s="39"/>
      <c r="V41" s="44"/>
    </row>
    <row r="42" spans="1:22" ht="21.75" thickBot="1" x14ac:dyDescent="0.4">
      <c r="A42" s="311" t="s">
        <v>194</v>
      </c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3"/>
    </row>
    <row r="43" spans="1:22" x14ac:dyDescent="0.25">
      <c r="A43" s="314" t="s">
        <v>199</v>
      </c>
      <c r="B43" s="285"/>
      <c r="C43" s="285"/>
      <c r="D43" s="285"/>
      <c r="E43" s="285"/>
      <c r="F43" s="285"/>
      <c r="G43" s="285"/>
      <c r="H43" s="285"/>
      <c r="I43" s="285"/>
      <c r="J43" s="285"/>
      <c r="K43" s="315"/>
      <c r="L43" s="346" t="s">
        <v>200</v>
      </c>
      <c r="M43" s="347"/>
      <c r="N43" s="347"/>
      <c r="O43" s="347"/>
      <c r="P43" s="347"/>
      <c r="Q43" s="347"/>
      <c r="R43" s="347"/>
      <c r="S43" s="347"/>
      <c r="T43" s="347"/>
      <c r="U43" s="347"/>
      <c r="V43" s="348"/>
    </row>
    <row r="44" spans="1:22" ht="41.25" customHeight="1" thickBot="1" x14ac:dyDescent="0.3">
      <c r="A44" s="37"/>
      <c r="B44" s="2"/>
      <c r="C44" s="306" t="s">
        <v>175</v>
      </c>
      <c r="D44" s="306"/>
      <c r="E44" s="306"/>
      <c r="F44" s="2"/>
      <c r="G44" s="306" t="s">
        <v>186</v>
      </c>
      <c r="H44" s="306"/>
      <c r="I44" s="306"/>
      <c r="J44" s="2"/>
      <c r="K44" s="2"/>
      <c r="L44" s="37"/>
      <c r="M44" s="2"/>
      <c r="N44" s="306" t="s">
        <v>175</v>
      </c>
      <c r="O44" s="306"/>
      <c r="P44" s="306"/>
      <c r="Q44" s="2"/>
      <c r="R44" s="306" t="s">
        <v>186</v>
      </c>
      <c r="S44" s="306"/>
      <c r="T44" s="306"/>
      <c r="U44" s="2"/>
      <c r="V44" s="38"/>
    </row>
    <row r="45" spans="1:22" ht="15.75" thickBot="1" x14ac:dyDescent="0.3">
      <c r="A45" s="37"/>
      <c r="B45" s="50">
        <v>0.01</v>
      </c>
      <c r="C45" s="39"/>
      <c r="D45" s="39" t="s">
        <v>2</v>
      </c>
      <c r="E45" s="39"/>
      <c r="F45" s="307" t="s">
        <v>176</v>
      </c>
      <c r="G45" s="39"/>
      <c r="H45" s="42" t="s">
        <v>8</v>
      </c>
      <c r="I45" s="39"/>
      <c r="J45" s="49">
        <f>F52</f>
        <v>10625</v>
      </c>
      <c r="K45" s="2"/>
      <c r="L45" s="37"/>
      <c r="M45" s="50">
        <v>0.01</v>
      </c>
      <c r="N45" s="39"/>
      <c r="O45" s="39" t="s">
        <v>2</v>
      </c>
      <c r="P45" s="39"/>
      <c r="Q45" s="309" t="s">
        <v>176</v>
      </c>
      <c r="R45" s="39"/>
      <c r="S45" s="42" t="s">
        <v>8</v>
      </c>
      <c r="T45" s="39"/>
      <c r="U45" s="49">
        <f>Q52</f>
        <v>30357.142857142859</v>
      </c>
      <c r="V45" s="38"/>
    </row>
    <row r="46" spans="1:22" ht="15.75" thickBot="1" x14ac:dyDescent="0.3">
      <c r="A46" s="37"/>
      <c r="B46" s="2"/>
      <c r="C46" s="2"/>
      <c r="D46" s="45">
        <f>F50</f>
        <v>40000</v>
      </c>
      <c r="E46" s="2"/>
      <c r="F46" s="308"/>
      <c r="G46" s="2"/>
      <c r="H46" s="45">
        <v>40000</v>
      </c>
      <c r="I46" s="2"/>
      <c r="J46" s="2"/>
      <c r="K46" s="2"/>
      <c r="L46" s="37"/>
      <c r="M46" s="2"/>
      <c r="N46" s="2"/>
      <c r="O46" s="45">
        <v>40000</v>
      </c>
      <c r="P46" s="2"/>
      <c r="Q46" s="310"/>
      <c r="R46" s="2"/>
      <c r="S46" s="45">
        <v>14000</v>
      </c>
      <c r="T46" s="2"/>
      <c r="U46" s="2"/>
      <c r="V46" s="38"/>
    </row>
    <row r="47" spans="1:22" x14ac:dyDescent="0.25">
      <c r="A47" s="37"/>
      <c r="B47" s="2"/>
      <c r="C47" s="2"/>
      <c r="D47" s="2"/>
      <c r="E47" s="2"/>
      <c r="F47" s="48">
        <f>F51</f>
        <v>425000000</v>
      </c>
      <c r="G47" s="2"/>
      <c r="H47" s="2"/>
      <c r="I47" s="2"/>
      <c r="J47" s="2"/>
      <c r="K47" s="2"/>
      <c r="L47" s="37"/>
      <c r="M47" s="2"/>
      <c r="N47" s="2"/>
      <c r="O47" s="2"/>
      <c r="P47" s="2"/>
      <c r="Q47" s="48">
        <f>Q51</f>
        <v>425000000</v>
      </c>
      <c r="R47" s="2"/>
      <c r="S47" s="2"/>
      <c r="T47" s="2"/>
      <c r="U47" s="2"/>
      <c r="V47" s="38"/>
    </row>
    <row r="48" spans="1:22" x14ac:dyDescent="0.25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37"/>
      <c r="M48" s="2"/>
      <c r="N48" s="2"/>
      <c r="O48" s="2"/>
      <c r="P48" s="2"/>
      <c r="Q48" s="2"/>
      <c r="R48" s="2"/>
      <c r="S48" s="2"/>
      <c r="T48" s="2"/>
      <c r="U48" s="2"/>
      <c r="V48" s="38"/>
    </row>
    <row r="49" spans="1:22" x14ac:dyDescent="0.25">
      <c r="A49" s="37"/>
      <c r="B49" s="2"/>
      <c r="C49" s="2"/>
      <c r="D49" s="2"/>
      <c r="E49" s="207" t="s">
        <v>183</v>
      </c>
      <c r="F49" s="207"/>
      <c r="G49" s="2"/>
      <c r="H49" s="2"/>
      <c r="I49" s="2"/>
      <c r="J49" s="2"/>
      <c r="K49" s="2"/>
      <c r="L49" s="37"/>
      <c r="M49" s="2"/>
      <c r="N49" s="2"/>
      <c r="O49" s="2"/>
      <c r="P49" s="207" t="s">
        <v>183</v>
      </c>
      <c r="Q49" s="207"/>
      <c r="R49" s="2"/>
      <c r="S49" s="2"/>
      <c r="T49" s="2"/>
      <c r="U49" s="2"/>
      <c r="V49" s="38"/>
    </row>
    <row r="50" spans="1:22" x14ac:dyDescent="0.25">
      <c r="A50" s="301" t="s">
        <v>180</v>
      </c>
      <c r="B50" s="302"/>
      <c r="C50" s="302"/>
      <c r="D50" s="2"/>
      <c r="E50" s="12" t="s">
        <v>23</v>
      </c>
      <c r="F50" s="41">
        <v>40000</v>
      </c>
      <c r="G50" s="2"/>
      <c r="H50" s="33">
        <v>13000</v>
      </c>
      <c r="I50" s="2"/>
      <c r="J50" s="2"/>
      <c r="K50" s="2"/>
      <c r="L50" s="301" t="s">
        <v>180</v>
      </c>
      <c r="M50" s="302"/>
      <c r="N50" s="302"/>
      <c r="O50" s="2"/>
      <c r="P50" s="12" t="s">
        <v>23</v>
      </c>
      <c r="Q50" s="41">
        <f>S46</f>
        <v>14000</v>
      </c>
      <c r="R50" s="2"/>
      <c r="S50" s="2"/>
      <c r="T50" s="2"/>
      <c r="U50" s="2"/>
      <c r="V50" s="38"/>
    </row>
    <row r="51" spans="1:22" x14ac:dyDescent="0.25">
      <c r="A51" s="301" t="s">
        <v>181</v>
      </c>
      <c r="B51" s="302"/>
      <c r="C51" s="302"/>
      <c r="D51" s="2"/>
      <c r="E51" s="12" t="s">
        <v>178</v>
      </c>
      <c r="F51" s="33">
        <f>+F38+F11</f>
        <v>425000000</v>
      </c>
      <c r="G51" s="2"/>
      <c r="H51" s="2"/>
      <c r="I51" s="2"/>
      <c r="J51" s="2"/>
      <c r="K51" s="2"/>
      <c r="L51" s="301" t="s">
        <v>181</v>
      </c>
      <c r="M51" s="302"/>
      <c r="N51" s="302"/>
      <c r="O51" s="2"/>
      <c r="P51" s="12" t="s">
        <v>178</v>
      </c>
      <c r="Q51" s="33">
        <f>F51</f>
        <v>425000000</v>
      </c>
      <c r="R51" s="2"/>
      <c r="S51" s="2"/>
      <c r="T51" s="2"/>
      <c r="U51" s="2"/>
      <c r="V51" s="38"/>
    </row>
    <row r="52" spans="1:22" x14ac:dyDescent="0.25">
      <c r="A52" s="301" t="s">
        <v>182</v>
      </c>
      <c r="B52" s="302"/>
      <c r="C52" s="302"/>
      <c r="D52" s="2"/>
      <c r="E52" s="12" t="s">
        <v>179</v>
      </c>
      <c r="F52" s="33">
        <f>+F51/F50</f>
        <v>10625</v>
      </c>
      <c r="G52" s="2"/>
      <c r="H52" s="2"/>
      <c r="I52" s="2"/>
      <c r="J52" s="2"/>
      <c r="K52" s="2"/>
      <c r="L52" s="301" t="s">
        <v>182</v>
      </c>
      <c r="M52" s="302"/>
      <c r="N52" s="302"/>
      <c r="O52" s="2"/>
      <c r="P52" s="12" t="s">
        <v>179</v>
      </c>
      <c r="Q52" s="33">
        <f>+Q51/Q50</f>
        <v>30357.142857142859</v>
      </c>
      <c r="R52" s="2"/>
      <c r="S52" s="2"/>
      <c r="T52" s="2"/>
      <c r="U52" s="2"/>
      <c r="V52" s="38"/>
    </row>
    <row r="53" spans="1:22" x14ac:dyDescent="0.25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37"/>
      <c r="M53" s="2"/>
      <c r="N53" s="2"/>
      <c r="O53" s="2"/>
      <c r="P53" s="2"/>
      <c r="Q53" s="2"/>
      <c r="R53" s="2"/>
      <c r="S53" s="2"/>
      <c r="T53" s="2"/>
      <c r="U53" s="2"/>
      <c r="V53" s="38"/>
    </row>
    <row r="54" spans="1:22" ht="15.75" thickBot="1" x14ac:dyDescent="0.3">
      <c r="A54" s="43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43"/>
      <c r="M54" s="39"/>
      <c r="N54" s="39"/>
      <c r="O54" s="39"/>
      <c r="P54" s="39"/>
      <c r="Q54" s="39"/>
      <c r="R54" s="39"/>
      <c r="S54" s="39"/>
      <c r="T54" s="39"/>
      <c r="U54" s="39"/>
      <c r="V54" s="44"/>
    </row>
    <row r="55" spans="1:22" ht="21.75" thickBot="1" x14ac:dyDescent="0.4">
      <c r="A55" s="349" t="s">
        <v>201</v>
      </c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51"/>
    </row>
    <row r="56" spans="1:22" x14ac:dyDescent="0.25">
      <c r="A56" s="314" t="s">
        <v>208</v>
      </c>
      <c r="B56" s="285"/>
      <c r="C56" s="285"/>
      <c r="D56" s="285"/>
      <c r="E56" s="285"/>
      <c r="F56" s="285"/>
      <c r="G56" s="285"/>
      <c r="H56" s="285"/>
      <c r="I56" s="285"/>
      <c r="J56" s="285"/>
      <c r="K56" s="315"/>
      <c r="L56" s="346" t="s">
        <v>209</v>
      </c>
      <c r="M56" s="347"/>
      <c r="N56" s="347"/>
      <c r="O56" s="347"/>
      <c r="P56" s="347"/>
      <c r="Q56" s="347"/>
      <c r="R56" s="347"/>
      <c r="S56" s="347"/>
      <c r="T56" s="347"/>
      <c r="U56" s="347"/>
      <c r="V56" s="348"/>
    </row>
    <row r="57" spans="1:22" ht="45.75" customHeight="1" x14ac:dyDescent="0.25">
      <c r="A57" s="37"/>
      <c r="B57" s="2"/>
      <c r="C57" s="2"/>
      <c r="D57" s="2"/>
      <c r="E57" s="2"/>
      <c r="F57" s="2"/>
      <c r="G57" s="2"/>
      <c r="H57" s="2"/>
      <c r="I57" s="2"/>
      <c r="J57" s="2"/>
      <c r="K57" s="38"/>
      <c r="L57" s="37"/>
      <c r="M57" s="2"/>
      <c r="N57" s="2"/>
      <c r="O57" s="2"/>
      <c r="P57" s="2"/>
      <c r="Q57" s="2"/>
      <c r="R57" s="2"/>
      <c r="S57" s="2"/>
      <c r="T57" s="2"/>
      <c r="U57" s="2"/>
      <c r="V57" s="38"/>
    </row>
    <row r="58" spans="1:22" ht="72" customHeight="1" x14ac:dyDescent="0.25">
      <c r="A58" s="37"/>
      <c r="B58" s="2"/>
      <c r="C58" s="2"/>
      <c r="D58" s="2"/>
      <c r="E58" s="2"/>
      <c r="F58" s="2"/>
      <c r="G58" s="2"/>
      <c r="H58" s="2"/>
      <c r="I58" s="2"/>
      <c r="J58" s="2"/>
      <c r="K58" s="38"/>
      <c r="L58" s="37"/>
      <c r="M58" s="2"/>
      <c r="N58" s="2"/>
      <c r="O58" s="2"/>
      <c r="P58" s="2"/>
      <c r="Q58" s="2"/>
      <c r="R58" s="2"/>
      <c r="S58" s="2"/>
      <c r="T58" s="2"/>
      <c r="U58" s="2"/>
      <c r="V58" s="38"/>
    </row>
    <row r="59" spans="1:22" ht="45.75" customHeight="1" x14ac:dyDescent="0.25">
      <c r="A59" s="37"/>
      <c r="B59" s="2"/>
      <c r="C59" s="2"/>
      <c r="D59" s="2"/>
      <c r="E59" s="2"/>
      <c r="F59" s="2"/>
      <c r="G59" s="2"/>
      <c r="H59" s="2"/>
      <c r="I59" s="2"/>
      <c r="J59" s="2"/>
      <c r="K59" s="38"/>
      <c r="L59" s="37"/>
      <c r="M59" s="2"/>
      <c r="N59" s="2"/>
      <c r="O59" s="2"/>
      <c r="P59" s="2"/>
      <c r="Q59" s="2"/>
      <c r="R59" s="2"/>
      <c r="S59" s="2"/>
      <c r="T59" s="2"/>
      <c r="U59" s="2"/>
      <c r="V59" s="38"/>
    </row>
    <row r="60" spans="1:22" x14ac:dyDescent="0.25">
      <c r="A60" s="37"/>
      <c r="B60" s="2"/>
      <c r="C60" s="2"/>
      <c r="D60" s="2"/>
      <c r="E60" s="2"/>
      <c r="F60" s="2"/>
      <c r="G60" s="2"/>
      <c r="H60" s="2"/>
      <c r="I60" s="2"/>
      <c r="J60" s="2"/>
      <c r="K60" s="38"/>
      <c r="L60" s="37"/>
      <c r="M60" s="2"/>
      <c r="N60" s="2"/>
      <c r="O60" s="2"/>
      <c r="P60" s="2"/>
      <c r="Q60" s="2"/>
      <c r="R60" s="2"/>
      <c r="S60" s="2"/>
      <c r="T60" s="2"/>
      <c r="U60" s="2"/>
      <c r="V60" s="38"/>
    </row>
    <row r="61" spans="1:22" x14ac:dyDescent="0.25">
      <c r="A61" s="37"/>
      <c r="B61" s="2"/>
      <c r="C61" s="2"/>
      <c r="D61" s="2"/>
      <c r="E61" s="2"/>
      <c r="F61" s="31" t="s">
        <v>212</v>
      </c>
      <c r="G61" s="31" t="s">
        <v>211</v>
      </c>
      <c r="H61" s="31" t="s">
        <v>210</v>
      </c>
      <c r="I61" s="2"/>
      <c r="J61" s="2"/>
      <c r="K61" s="2"/>
      <c r="L61" s="37"/>
      <c r="M61" s="2"/>
      <c r="N61" s="2"/>
      <c r="O61" s="2"/>
      <c r="P61" s="2"/>
      <c r="Q61" s="31" t="s">
        <v>212</v>
      </c>
      <c r="R61" s="31" t="s">
        <v>211</v>
      </c>
      <c r="S61" s="31" t="s">
        <v>210</v>
      </c>
      <c r="T61" s="2"/>
      <c r="U61" s="2"/>
      <c r="V61" s="2"/>
    </row>
    <row r="62" spans="1:22" x14ac:dyDescent="0.25">
      <c r="A62" s="37"/>
      <c r="B62" s="2"/>
      <c r="C62" s="2"/>
      <c r="D62" s="2"/>
      <c r="E62" s="51" t="s">
        <v>23</v>
      </c>
      <c r="F62" s="41">
        <v>14000</v>
      </c>
      <c r="G62" s="31"/>
      <c r="H62" s="31"/>
      <c r="I62" s="2"/>
      <c r="J62" s="2"/>
      <c r="K62" s="2"/>
      <c r="L62" s="37"/>
      <c r="M62" s="2"/>
      <c r="N62" s="2"/>
      <c r="O62" s="2"/>
      <c r="P62" s="51" t="s">
        <v>23</v>
      </c>
      <c r="Q62" s="41">
        <v>14000</v>
      </c>
      <c r="R62" s="31"/>
      <c r="S62" s="31"/>
      <c r="T62" s="2"/>
      <c r="U62" s="2"/>
      <c r="V62" s="2"/>
    </row>
    <row r="63" spans="1:22" x14ac:dyDescent="0.25">
      <c r="A63" s="301" t="s">
        <v>204</v>
      </c>
      <c r="B63" s="302"/>
      <c r="C63" s="302"/>
      <c r="D63" s="2"/>
      <c r="E63" s="13" t="s">
        <v>205</v>
      </c>
      <c r="F63" s="33">
        <f>$F$62*G63</f>
        <v>14999999.999999998</v>
      </c>
      <c r="G63" s="52">
        <f>Q39</f>
        <v>1071.4285714285713</v>
      </c>
      <c r="H63" s="31"/>
      <c r="I63" s="2"/>
      <c r="J63" s="2"/>
      <c r="K63" s="2"/>
      <c r="L63" s="301" t="s">
        <v>204</v>
      </c>
      <c r="M63" s="302"/>
      <c r="N63" s="302"/>
      <c r="O63" s="2"/>
      <c r="P63" s="13" t="s">
        <v>205</v>
      </c>
      <c r="Q63" s="33">
        <f>$Q$62*R63</f>
        <v>8400000</v>
      </c>
      <c r="R63" s="33">
        <f>Q25</f>
        <v>600</v>
      </c>
      <c r="S63" s="31"/>
      <c r="T63" s="2"/>
      <c r="U63" s="2"/>
      <c r="V63" s="2"/>
    </row>
    <row r="64" spans="1:22" x14ac:dyDescent="0.25">
      <c r="A64" s="301" t="s">
        <v>202</v>
      </c>
      <c r="B64" s="302"/>
      <c r="C64" s="302"/>
      <c r="D64" s="2"/>
      <c r="E64" s="13" t="s">
        <v>206</v>
      </c>
      <c r="F64" s="33">
        <f t="shared" ref="F64:F65" si="0">$F$62*G64</f>
        <v>177800000</v>
      </c>
      <c r="G64" s="52">
        <v>12700</v>
      </c>
      <c r="H64" s="52">
        <f>F64-F63</f>
        <v>162800000</v>
      </c>
      <c r="I64" s="2"/>
      <c r="J64" s="2"/>
      <c r="K64" s="2"/>
      <c r="L64" s="301" t="s">
        <v>202</v>
      </c>
      <c r="M64" s="302"/>
      <c r="N64" s="302"/>
      <c r="O64" s="2"/>
      <c r="P64" s="13" t="s">
        <v>206</v>
      </c>
      <c r="Q64" s="33">
        <f t="shared" ref="Q64:Q65" si="1">$F$62*R64</f>
        <v>350000000</v>
      </c>
      <c r="R64" s="52">
        <v>25000</v>
      </c>
      <c r="S64" s="52">
        <f>Q64-R63</f>
        <v>349999400</v>
      </c>
      <c r="T64" s="2"/>
      <c r="U64" s="2"/>
      <c r="V64" s="2"/>
    </row>
    <row r="65" spans="1:22" x14ac:dyDescent="0.25">
      <c r="A65" s="301" t="s">
        <v>203</v>
      </c>
      <c r="B65" s="302"/>
      <c r="C65" s="302"/>
      <c r="D65" s="2"/>
      <c r="E65" s="13" t="s">
        <v>207</v>
      </c>
      <c r="F65" s="33">
        <f t="shared" si="0"/>
        <v>180460000</v>
      </c>
      <c r="G65" s="52">
        <v>12890</v>
      </c>
      <c r="H65" s="52">
        <f>F65-F63</f>
        <v>165460000</v>
      </c>
      <c r="I65" s="2"/>
      <c r="J65" s="2"/>
      <c r="K65" s="2"/>
      <c r="L65" s="301" t="s">
        <v>203</v>
      </c>
      <c r="M65" s="302"/>
      <c r="N65" s="302"/>
      <c r="O65" s="2"/>
      <c r="P65" s="13" t="s">
        <v>207</v>
      </c>
      <c r="Q65" s="33">
        <f t="shared" si="1"/>
        <v>180460000</v>
      </c>
      <c r="R65" s="52">
        <v>12890</v>
      </c>
      <c r="S65" s="52">
        <f>Q65-R63</f>
        <v>180459400</v>
      </c>
      <c r="T65" s="2"/>
      <c r="U65" s="2"/>
      <c r="V65" s="2"/>
    </row>
    <row r="66" spans="1:22" x14ac:dyDescent="0.25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37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thickBot="1" x14ac:dyDescent="0.3">
      <c r="A67" s="43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43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spans="1:22" ht="21.75" thickBot="1" x14ac:dyDescent="0.4">
      <c r="A68" s="303" t="s">
        <v>213</v>
      </c>
      <c r="B68" s="304"/>
      <c r="C68" s="304"/>
      <c r="D68" s="304"/>
      <c r="E68" s="304"/>
      <c r="F68" s="304"/>
      <c r="G68" s="304"/>
      <c r="H68" s="304"/>
      <c r="I68" s="304"/>
      <c r="J68" s="304"/>
      <c r="K68" s="304"/>
      <c r="L68" s="304"/>
      <c r="M68" s="304"/>
      <c r="N68" s="304"/>
      <c r="O68" s="304"/>
      <c r="P68" s="304"/>
      <c r="Q68" s="304"/>
      <c r="R68" s="304"/>
      <c r="S68" s="304"/>
      <c r="T68" s="304"/>
      <c r="U68" s="304"/>
      <c r="V68" s="305"/>
    </row>
    <row r="69" spans="1:22" ht="21.75" thickBot="1" x14ac:dyDescent="0.4">
      <c r="A69" s="311" t="s">
        <v>219</v>
      </c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3"/>
    </row>
    <row r="70" spans="1:22" x14ac:dyDescent="0.25">
      <c r="A70" s="314" t="s">
        <v>218</v>
      </c>
      <c r="B70" s="285"/>
      <c r="C70" s="285"/>
      <c r="D70" s="285"/>
      <c r="E70" s="285"/>
      <c r="F70" s="285"/>
      <c r="G70" s="285"/>
      <c r="H70" s="285"/>
      <c r="I70" s="285"/>
      <c r="J70" s="285"/>
      <c r="K70" s="315"/>
      <c r="L70" s="314" t="s">
        <v>200</v>
      </c>
      <c r="M70" s="285"/>
      <c r="N70" s="285"/>
      <c r="O70" s="285"/>
      <c r="P70" s="285"/>
      <c r="Q70" s="285"/>
      <c r="R70" s="285"/>
      <c r="S70" s="285"/>
      <c r="T70" s="285"/>
      <c r="U70" s="285"/>
      <c r="V70" s="315"/>
    </row>
    <row r="71" spans="1:22" ht="15.75" thickBot="1" x14ac:dyDescent="0.3">
      <c r="A71" s="37"/>
      <c r="B71" s="2"/>
      <c r="C71" s="306" t="s">
        <v>214</v>
      </c>
      <c r="D71" s="306"/>
      <c r="E71" s="306"/>
      <c r="F71" s="2"/>
      <c r="G71" s="306" t="s">
        <v>215</v>
      </c>
      <c r="H71" s="306"/>
      <c r="I71" s="306"/>
      <c r="J71" s="2"/>
      <c r="K71" s="2"/>
      <c r="L71" s="37"/>
      <c r="M71" s="2"/>
      <c r="N71" s="306" t="s">
        <v>214</v>
      </c>
      <c r="O71" s="306"/>
      <c r="P71" s="306"/>
      <c r="Q71" s="2"/>
      <c r="R71" s="306" t="s">
        <v>217</v>
      </c>
      <c r="S71" s="306"/>
      <c r="T71" s="306"/>
      <c r="U71" s="2"/>
      <c r="V71" s="38"/>
    </row>
    <row r="72" spans="1:22" ht="15.75" thickBot="1" x14ac:dyDescent="0.3">
      <c r="A72" s="37"/>
      <c r="B72" s="50">
        <v>0.01</v>
      </c>
      <c r="C72" s="39"/>
      <c r="D72" s="39" t="s">
        <v>9</v>
      </c>
      <c r="E72" s="39"/>
      <c r="F72" s="307" t="s">
        <v>215</v>
      </c>
      <c r="G72" s="39"/>
      <c r="H72" s="42" t="s">
        <v>10</v>
      </c>
      <c r="I72" s="39"/>
      <c r="J72" s="49">
        <f>F79</f>
        <v>1466.6666666666667</v>
      </c>
      <c r="K72" s="2"/>
      <c r="L72" s="37"/>
      <c r="M72" s="50">
        <v>0.01</v>
      </c>
      <c r="N72" s="39"/>
      <c r="O72" s="39" t="s">
        <v>9</v>
      </c>
      <c r="P72" s="39"/>
      <c r="Q72" s="309" t="s">
        <v>216</v>
      </c>
      <c r="R72" s="39"/>
      <c r="S72" s="42" t="s">
        <v>15</v>
      </c>
      <c r="T72" s="39"/>
      <c r="U72" s="49">
        <f>Q79</f>
        <v>2030.7692307692307</v>
      </c>
      <c r="V72" s="38"/>
    </row>
    <row r="73" spans="1:22" ht="15.75" thickBot="1" x14ac:dyDescent="0.3">
      <c r="A73" s="37"/>
      <c r="B73" s="2"/>
      <c r="C73" s="2"/>
      <c r="D73" s="45"/>
      <c r="E73" s="2"/>
      <c r="F73" s="308"/>
      <c r="G73" s="2"/>
      <c r="H73" s="45">
        <v>9000</v>
      </c>
      <c r="I73" s="2"/>
      <c r="J73" s="2"/>
      <c r="K73" s="2"/>
      <c r="L73" s="37"/>
      <c r="M73" s="2"/>
      <c r="N73" s="2"/>
      <c r="O73" s="45"/>
      <c r="P73" s="2"/>
      <c r="Q73" s="310"/>
      <c r="R73" s="2"/>
      <c r="S73" s="45">
        <v>6500</v>
      </c>
      <c r="T73" s="2"/>
      <c r="U73" s="2"/>
      <c r="V73" s="38"/>
    </row>
    <row r="74" spans="1:22" x14ac:dyDescent="0.25">
      <c r="A74" s="37"/>
      <c r="B74" s="2"/>
      <c r="C74" s="2"/>
      <c r="D74" s="2"/>
      <c r="E74" s="2"/>
      <c r="F74" s="48">
        <f>+F78</f>
        <v>13200000</v>
      </c>
      <c r="G74" s="2"/>
      <c r="H74" s="2"/>
      <c r="I74" s="2"/>
      <c r="J74" s="2"/>
      <c r="K74" s="2"/>
      <c r="L74" s="37"/>
      <c r="M74" s="2"/>
      <c r="N74" s="2"/>
      <c r="O74" s="2"/>
      <c r="P74" s="2"/>
      <c r="Q74" s="48">
        <f>Q78</f>
        <v>13200000</v>
      </c>
      <c r="R74" s="2"/>
      <c r="S74" s="2"/>
      <c r="T74" s="2"/>
      <c r="U74" s="2"/>
      <c r="V74" s="38"/>
    </row>
    <row r="75" spans="1:22" x14ac:dyDescent="0.2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37"/>
      <c r="M75" s="2"/>
      <c r="N75" s="2"/>
      <c r="O75" s="2"/>
      <c r="P75" s="2"/>
      <c r="Q75" s="2"/>
      <c r="R75" s="2"/>
      <c r="S75" s="2"/>
      <c r="T75" s="2"/>
      <c r="U75" s="2"/>
      <c r="V75" s="38"/>
    </row>
    <row r="76" spans="1:22" x14ac:dyDescent="0.25">
      <c r="A76" s="37"/>
      <c r="B76" s="2"/>
      <c r="C76" s="2"/>
      <c r="D76" s="2"/>
      <c r="E76" s="207" t="s">
        <v>183</v>
      </c>
      <c r="F76" s="207"/>
      <c r="G76" s="2"/>
      <c r="H76" s="2"/>
      <c r="I76" s="2"/>
      <c r="J76" s="2"/>
      <c r="K76" s="2"/>
      <c r="L76" s="37"/>
      <c r="M76" s="2"/>
      <c r="N76" s="2"/>
      <c r="O76" s="2"/>
      <c r="P76" s="207" t="s">
        <v>183</v>
      </c>
      <c r="Q76" s="207"/>
      <c r="R76" s="2"/>
      <c r="S76" s="2"/>
      <c r="T76" s="2"/>
      <c r="U76" s="2"/>
      <c r="V76" s="38"/>
    </row>
    <row r="77" spans="1:22" x14ac:dyDescent="0.25">
      <c r="A77" s="301" t="s">
        <v>180</v>
      </c>
      <c r="B77" s="302"/>
      <c r="C77" s="302"/>
      <c r="D77" s="2"/>
      <c r="E77" s="12" t="s">
        <v>23</v>
      </c>
      <c r="F77" s="41">
        <v>9000</v>
      </c>
      <c r="G77" s="2"/>
      <c r="H77" s="2"/>
      <c r="I77" s="2"/>
      <c r="J77" s="2"/>
      <c r="K77" s="2"/>
      <c r="L77" s="301" t="s">
        <v>180</v>
      </c>
      <c r="M77" s="302"/>
      <c r="N77" s="302"/>
      <c r="O77" s="2"/>
      <c r="P77" s="12" t="s">
        <v>23</v>
      </c>
      <c r="Q77" s="41">
        <f>S73</f>
        <v>6500</v>
      </c>
      <c r="R77" s="2"/>
      <c r="S77" s="2"/>
      <c r="T77" s="2"/>
      <c r="U77" s="2"/>
      <c r="V77" s="38"/>
    </row>
    <row r="78" spans="1:22" x14ac:dyDescent="0.25">
      <c r="A78" s="301" t="s">
        <v>181</v>
      </c>
      <c r="B78" s="302"/>
      <c r="C78" s="302"/>
      <c r="D78" s="2"/>
      <c r="E78" s="12" t="s">
        <v>178</v>
      </c>
      <c r="F78" s="33">
        <v>13200000</v>
      </c>
      <c r="G78" s="2"/>
      <c r="H78" s="2"/>
      <c r="I78" s="2"/>
      <c r="J78" s="2"/>
      <c r="K78" s="2"/>
      <c r="L78" s="301" t="s">
        <v>181</v>
      </c>
      <c r="M78" s="302"/>
      <c r="N78" s="302"/>
      <c r="O78" s="2"/>
      <c r="P78" s="12" t="s">
        <v>178</v>
      </c>
      <c r="Q78" s="33">
        <f>F78</f>
        <v>13200000</v>
      </c>
      <c r="R78" s="2"/>
      <c r="S78" s="2"/>
      <c r="T78" s="2"/>
      <c r="U78" s="2"/>
      <c r="V78" s="38"/>
    </row>
    <row r="79" spans="1:22" x14ac:dyDescent="0.25">
      <c r="A79" s="301" t="s">
        <v>182</v>
      </c>
      <c r="B79" s="302"/>
      <c r="C79" s="302"/>
      <c r="D79" s="2"/>
      <c r="E79" s="12" t="s">
        <v>179</v>
      </c>
      <c r="F79" s="33">
        <f>+F78/F77</f>
        <v>1466.6666666666667</v>
      </c>
      <c r="G79" s="2"/>
      <c r="H79" s="2"/>
      <c r="I79" s="2"/>
      <c r="J79" s="2"/>
      <c r="K79" s="2"/>
      <c r="L79" s="301" t="s">
        <v>182</v>
      </c>
      <c r="M79" s="302"/>
      <c r="N79" s="302"/>
      <c r="O79" s="2"/>
      <c r="P79" s="12" t="s">
        <v>179</v>
      </c>
      <c r="Q79" s="33">
        <f>+Q78/Q77</f>
        <v>2030.7692307692307</v>
      </c>
      <c r="R79" s="2"/>
      <c r="S79" s="2"/>
      <c r="T79" s="2"/>
      <c r="U79" s="2"/>
      <c r="V79" s="38"/>
    </row>
    <row r="80" spans="1:22" ht="15.75" thickBot="1" x14ac:dyDescent="0.3">
      <c r="A80" s="43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43"/>
      <c r="M80" s="39"/>
      <c r="N80" s="39"/>
      <c r="O80" s="39"/>
      <c r="P80" s="39"/>
      <c r="Q80" s="39"/>
      <c r="R80" s="39"/>
      <c r="S80" s="39"/>
      <c r="T80" s="39"/>
      <c r="U80" s="39"/>
      <c r="V80" s="44"/>
    </row>
  </sheetData>
  <mergeCells count="102">
    <mergeCell ref="A65:C65"/>
    <mergeCell ref="L65:N65"/>
    <mergeCell ref="A63:C63"/>
    <mergeCell ref="L63:N63"/>
    <mergeCell ref="A64:C64"/>
    <mergeCell ref="L64:N64"/>
    <mergeCell ref="C44:E44"/>
    <mergeCell ref="G44:I44"/>
    <mergeCell ref="N44:P44"/>
    <mergeCell ref="R44:T44"/>
    <mergeCell ref="A56:K56"/>
    <mergeCell ref="L56:V56"/>
    <mergeCell ref="F45:F46"/>
    <mergeCell ref="Q45:Q46"/>
    <mergeCell ref="E49:F49"/>
    <mergeCell ref="P49:Q49"/>
    <mergeCell ref="A50:C50"/>
    <mergeCell ref="L50:N50"/>
    <mergeCell ref="A51:C51"/>
    <mergeCell ref="L51:N51"/>
    <mergeCell ref="A52:C52"/>
    <mergeCell ref="L52:N52"/>
    <mergeCell ref="A55:V55"/>
    <mergeCell ref="A37:C37"/>
    <mergeCell ref="L37:N37"/>
    <mergeCell ref="A38:C38"/>
    <mergeCell ref="L38:N38"/>
    <mergeCell ref="A39:C39"/>
    <mergeCell ref="L39:N39"/>
    <mergeCell ref="A42:V42"/>
    <mergeCell ref="A43:K43"/>
    <mergeCell ref="L43:V43"/>
    <mergeCell ref="E36:F36"/>
    <mergeCell ref="P36:Q36"/>
    <mergeCell ref="A28:V28"/>
    <mergeCell ref="A29:K29"/>
    <mergeCell ref="L29:V29"/>
    <mergeCell ref="B31:C31"/>
    <mergeCell ref="I31:J31"/>
    <mergeCell ref="N31:P31"/>
    <mergeCell ref="R31:T31"/>
    <mergeCell ref="D32:E33"/>
    <mergeCell ref="G32:H33"/>
    <mergeCell ref="Q32:Q33"/>
    <mergeCell ref="D34:E34"/>
    <mergeCell ref="G34:H34"/>
    <mergeCell ref="N17:P17"/>
    <mergeCell ref="R17:T17"/>
    <mergeCell ref="B17:C17"/>
    <mergeCell ref="I17:J17"/>
    <mergeCell ref="A24:C24"/>
    <mergeCell ref="L24:N24"/>
    <mergeCell ref="A25:C25"/>
    <mergeCell ref="L25:N25"/>
    <mergeCell ref="Q18:Q19"/>
    <mergeCell ref="E22:F22"/>
    <mergeCell ref="P22:Q22"/>
    <mergeCell ref="A23:C23"/>
    <mergeCell ref="L23:N23"/>
    <mergeCell ref="D18:E19"/>
    <mergeCell ref="G18:H19"/>
    <mergeCell ref="D20:E20"/>
    <mergeCell ref="G20:H20"/>
    <mergeCell ref="C4:E4"/>
    <mergeCell ref="G4:I4"/>
    <mergeCell ref="A69:V69"/>
    <mergeCell ref="A70:K70"/>
    <mergeCell ref="L70:V70"/>
    <mergeCell ref="L12:N12"/>
    <mergeCell ref="A3:K3"/>
    <mergeCell ref="A2:V2"/>
    <mergeCell ref="A1:V1"/>
    <mergeCell ref="L3:V3"/>
    <mergeCell ref="A10:C10"/>
    <mergeCell ref="A11:C11"/>
    <mergeCell ref="A12:C12"/>
    <mergeCell ref="E9:F9"/>
    <mergeCell ref="N4:P4"/>
    <mergeCell ref="R4:T4"/>
    <mergeCell ref="Q5:Q6"/>
    <mergeCell ref="P9:Q9"/>
    <mergeCell ref="L10:N10"/>
    <mergeCell ref="L11:N11"/>
    <mergeCell ref="F5:F6"/>
    <mergeCell ref="A15:V15"/>
    <mergeCell ref="A16:K16"/>
    <mergeCell ref="L16:V16"/>
    <mergeCell ref="A79:C79"/>
    <mergeCell ref="A68:V68"/>
    <mergeCell ref="L79:N79"/>
    <mergeCell ref="E76:F76"/>
    <mergeCell ref="P76:Q76"/>
    <mergeCell ref="A77:C77"/>
    <mergeCell ref="L77:N77"/>
    <mergeCell ref="A78:C78"/>
    <mergeCell ref="L78:N78"/>
    <mergeCell ref="C71:E71"/>
    <mergeCell ref="G71:I71"/>
    <mergeCell ref="N71:P71"/>
    <mergeCell ref="R71:T71"/>
    <mergeCell ref="F72:F73"/>
    <mergeCell ref="Q72:Q7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EAAF-565D-4166-B001-13DEED3F0B58}">
  <dimension ref="B2:T25"/>
  <sheetViews>
    <sheetView zoomScale="85" zoomScaleNormal="85" workbookViewId="0">
      <selection activeCell="K17" sqref="K17"/>
    </sheetView>
  </sheetViews>
  <sheetFormatPr baseColWidth="10" defaultColWidth="11.42578125" defaultRowHeight="15" x14ac:dyDescent="0.25"/>
  <cols>
    <col min="1" max="1" width="2.7109375" style="2" customWidth="1"/>
    <col min="2" max="2" width="36.42578125" style="2" customWidth="1"/>
    <col min="3" max="4" width="10.85546875" style="2" customWidth="1"/>
    <col min="5" max="6" width="9.85546875" style="2" customWidth="1"/>
    <col min="7" max="7" width="47" style="2" bestFit="1" customWidth="1"/>
    <col min="8" max="8" width="24.85546875" style="2" bestFit="1" customWidth="1"/>
    <col min="9" max="10" width="11.42578125" style="2" customWidth="1"/>
    <col min="11" max="11" width="10.85546875" style="2" bestFit="1" customWidth="1"/>
    <col min="12" max="12" width="11.42578125" style="2" bestFit="1" customWidth="1"/>
    <col min="13" max="13" width="11.85546875" style="2" bestFit="1" customWidth="1"/>
    <col min="14" max="14" width="12.28515625" style="2" bestFit="1" customWidth="1"/>
    <col min="15" max="15" width="11" style="2" bestFit="1" customWidth="1"/>
    <col min="16" max="17" width="11.42578125" style="2"/>
    <col min="18" max="18" width="15" style="2" bestFit="1" customWidth="1"/>
    <col min="19" max="19" width="16.5703125" style="2" bestFit="1" customWidth="1"/>
    <col min="20" max="20" width="13.140625" style="2" bestFit="1" customWidth="1"/>
    <col min="21" max="16384" width="11.42578125" style="2"/>
  </cols>
  <sheetData>
    <row r="2" spans="2:20" ht="15.75" thickBot="1" x14ac:dyDescent="0.3">
      <c r="D2" s="354" t="s">
        <v>311</v>
      </c>
      <c r="E2" s="354"/>
      <c r="F2" s="354"/>
      <c r="G2" s="354"/>
      <c r="H2" s="354" t="s">
        <v>312</v>
      </c>
      <c r="I2" s="354"/>
      <c r="J2" s="354"/>
      <c r="K2" s="354"/>
      <c r="L2" s="354"/>
      <c r="M2" s="354"/>
      <c r="N2" s="354"/>
      <c r="O2" s="354"/>
      <c r="R2" s="207" t="s">
        <v>258</v>
      </c>
      <c r="S2" s="207"/>
    </row>
    <row r="3" spans="2:20" ht="15" customHeight="1" x14ac:dyDescent="0.25">
      <c r="B3" s="208" t="s">
        <v>121</v>
      </c>
      <c r="C3" s="231" t="s">
        <v>1</v>
      </c>
      <c r="D3" s="231" t="s">
        <v>230</v>
      </c>
      <c r="E3" s="231" t="s">
        <v>117</v>
      </c>
      <c r="F3" s="231" t="s">
        <v>120</v>
      </c>
      <c r="G3" s="231" t="s">
        <v>231</v>
      </c>
      <c r="H3" s="352" t="s">
        <v>262</v>
      </c>
      <c r="I3" s="231" t="s">
        <v>313</v>
      </c>
      <c r="J3" s="231" t="s">
        <v>336</v>
      </c>
      <c r="K3" s="231" t="s">
        <v>314</v>
      </c>
      <c r="L3" s="231" t="s">
        <v>315</v>
      </c>
      <c r="M3" s="231" t="s">
        <v>316</v>
      </c>
      <c r="N3" s="231" t="s">
        <v>317</v>
      </c>
      <c r="O3" s="227" t="s">
        <v>318</v>
      </c>
      <c r="R3" s="31" t="s">
        <v>259</v>
      </c>
      <c r="S3" s="33">
        <v>6981643</v>
      </c>
      <c r="T3" s="193">
        <f>+S3/D6</f>
        <v>424.54502888415931</v>
      </c>
    </row>
    <row r="4" spans="2:20" x14ac:dyDescent="0.25">
      <c r="B4" s="209"/>
      <c r="C4" s="232"/>
      <c r="D4" s="232"/>
      <c r="E4" s="232"/>
      <c r="F4" s="232"/>
      <c r="G4" s="232"/>
      <c r="H4" s="295"/>
      <c r="I4" s="232"/>
      <c r="J4" s="232"/>
      <c r="K4" s="232"/>
      <c r="L4" s="232"/>
      <c r="M4" s="232"/>
      <c r="N4" s="232"/>
      <c r="O4" s="228"/>
      <c r="R4" s="31" t="s">
        <v>260</v>
      </c>
      <c r="S4" s="60">
        <v>523</v>
      </c>
    </row>
    <row r="5" spans="2:20" ht="15.75" thickBot="1" x14ac:dyDescent="0.3">
      <c r="B5" s="210"/>
      <c r="C5" s="233"/>
      <c r="D5" s="233"/>
      <c r="E5" s="233"/>
      <c r="F5" s="233"/>
      <c r="G5" s="233"/>
      <c r="H5" s="353"/>
      <c r="I5" s="233"/>
      <c r="J5" s="233"/>
      <c r="K5" s="233"/>
      <c r="L5" s="233"/>
      <c r="M5" s="233"/>
      <c r="N5" s="233"/>
      <c r="O5" s="229"/>
      <c r="R5" s="31" t="s">
        <v>320</v>
      </c>
      <c r="S5" s="33">
        <v>0</v>
      </c>
    </row>
    <row r="6" spans="2:20" x14ac:dyDescent="0.25">
      <c r="B6" s="190" t="s">
        <v>349</v>
      </c>
      <c r="C6" s="79" t="s">
        <v>2</v>
      </c>
      <c r="D6" s="79">
        <v>16445</v>
      </c>
      <c r="E6" s="80">
        <f>+D6/$S$7</f>
        <v>632.5</v>
      </c>
      <c r="F6" s="80">
        <f>E6/K6</f>
        <v>27.5</v>
      </c>
      <c r="G6" s="62" t="s">
        <v>350</v>
      </c>
      <c r="H6" s="188" t="s">
        <v>351</v>
      </c>
      <c r="I6" s="62">
        <v>9.7100000000000009</v>
      </c>
      <c r="J6" s="62">
        <f>+I6</f>
        <v>9.7100000000000009</v>
      </c>
      <c r="K6" s="62">
        <v>23</v>
      </c>
      <c r="L6" s="62">
        <f>+K6*26</f>
        <v>598</v>
      </c>
      <c r="M6" s="62">
        <f>+J6*L6</f>
        <v>5806.5800000000008</v>
      </c>
      <c r="N6" s="81">
        <f>M6*$S$4</f>
        <v>3036841.3400000003</v>
      </c>
      <c r="O6" s="63">
        <f>N6/D6</f>
        <v>184.66654545454548</v>
      </c>
      <c r="R6" s="31" t="s">
        <v>376</v>
      </c>
      <c r="S6" s="33">
        <v>2310</v>
      </c>
    </row>
    <row r="7" spans="2:20" x14ac:dyDescent="0.25">
      <c r="B7" s="191" t="s">
        <v>352</v>
      </c>
      <c r="C7" s="12" t="s">
        <v>3</v>
      </c>
      <c r="D7" s="12">
        <f>+D6</f>
        <v>16445</v>
      </c>
      <c r="E7" s="55">
        <f>+D7/$S$7</f>
        <v>632.5</v>
      </c>
      <c r="F7" s="55">
        <f t="shared" ref="F7:F19" si="0">E7/K7</f>
        <v>27.5</v>
      </c>
      <c r="G7" s="31" t="s">
        <v>354</v>
      </c>
      <c r="H7" s="189" t="s">
        <v>353</v>
      </c>
      <c r="I7" s="31">
        <f>40/1000</f>
        <v>0.04</v>
      </c>
      <c r="J7" s="31">
        <f>+I7</f>
        <v>0.04</v>
      </c>
      <c r="K7" s="31">
        <v>23</v>
      </c>
      <c r="L7" s="31">
        <f>+K7*26</f>
        <v>598</v>
      </c>
      <c r="M7" s="31">
        <f>+J7*L7</f>
        <v>23.92</v>
      </c>
      <c r="N7" s="59">
        <f>M7*$S$4</f>
        <v>12510.160000000002</v>
      </c>
      <c r="O7" s="64">
        <f>N7/D7</f>
        <v>0.76072727272727281</v>
      </c>
      <c r="R7" s="31" t="s">
        <v>335</v>
      </c>
      <c r="S7" s="31">
        <v>26</v>
      </c>
    </row>
    <row r="8" spans="2:20" x14ac:dyDescent="0.25">
      <c r="B8" s="191"/>
      <c r="C8" s="12"/>
      <c r="D8" s="12"/>
      <c r="E8" s="55"/>
      <c r="F8" s="55"/>
      <c r="G8" s="31"/>
      <c r="H8" s="189" t="s">
        <v>372</v>
      </c>
      <c r="I8" s="31">
        <f>30/1000</f>
        <v>0.03</v>
      </c>
      <c r="J8" s="31"/>
      <c r="K8" s="31">
        <v>23</v>
      </c>
      <c r="L8" s="31">
        <f>+K8*26</f>
        <v>598</v>
      </c>
      <c r="M8" s="31"/>
      <c r="N8" s="59"/>
      <c r="O8" s="64"/>
    </row>
    <row r="9" spans="2:20" x14ac:dyDescent="0.25">
      <c r="B9" s="191" t="s">
        <v>355</v>
      </c>
      <c r="C9" s="12" t="s">
        <v>119</v>
      </c>
      <c r="D9" s="12">
        <v>0</v>
      </c>
      <c r="E9" s="55">
        <f t="shared" ref="E9:E11" si="1">+D9/$S$7</f>
        <v>0</v>
      </c>
      <c r="F9" s="55">
        <v>0</v>
      </c>
      <c r="G9" s="31"/>
      <c r="H9" s="189"/>
      <c r="I9" s="31"/>
      <c r="J9" s="31"/>
      <c r="K9" s="31"/>
      <c r="L9" s="31">
        <v>4</v>
      </c>
      <c r="M9" s="31"/>
      <c r="N9" s="59"/>
      <c r="O9" s="64"/>
    </row>
    <row r="10" spans="2:20" x14ac:dyDescent="0.25">
      <c r="B10" s="191" t="s">
        <v>356</v>
      </c>
      <c r="C10" s="12" t="s">
        <v>5</v>
      </c>
      <c r="D10" s="12">
        <f>+D7</f>
        <v>16445</v>
      </c>
      <c r="E10" s="55">
        <f t="shared" si="1"/>
        <v>632.5</v>
      </c>
      <c r="F10" s="55">
        <f t="shared" si="0"/>
        <v>27.5</v>
      </c>
      <c r="G10" s="31"/>
      <c r="H10" s="189"/>
      <c r="I10" s="31"/>
      <c r="J10" s="31"/>
      <c r="K10" s="31">
        <v>23</v>
      </c>
      <c r="L10" s="31">
        <f>+K10*26</f>
        <v>598</v>
      </c>
      <c r="M10" s="31"/>
      <c r="N10" s="59"/>
      <c r="O10" s="64">
        <f t="shared" ref="O10:O11" si="2">N10/D10</f>
        <v>0</v>
      </c>
    </row>
    <row r="11" spans="2:20" x14ac:dyDescent="0.25">
      <c r="B11" s="191" t="s">
        <v>357</v>
      </c>
      <c r="C11" s="12" t="s">
        <v>8</v>
      </c>
      <c r="D11" s="12">
        <f>+D10-D13</f>
        <v>8073</v>
      </c>
      <c r="E11" s="55">
        <f t="shared" si="1"/>
        <v>310.5</v>
      </c>
      <c r="F11" s="55">
        <f t="shared" si="0"/>
        <v>135</v>
      </c>
      <c r="G11" s="31" t="s">
        <v>380</v>
      </c>
      <c r="H11" s="189"/>
      <c r="I11" s="31"/>
      <c r="J11" s="31"/>
      <c r="K11" s="31">
        <v>2.2999999999999998</v>
      </c>
      <c r="L11" s="31">
        <f>+K11*26</f>
        <v>59.8</v>
      </c>
      <c r="M11" s="31"/>
      <c r="N11" s="59"/>
      <c r="O11" s="64">
        <f t="shared" si="2"/>
        <v>0</v>
      </c>
    </row>
    <row r="12" spans="2:20" x14ac:dyDescent="0.25">
      <c r="B12" s="191" t="s">
        <v>358</v>
      </c>
      <c r="C12" s="12" t="s">
        <v>9</v>
      </c>
      <c r="D12" s="12">
        <v>0</v>
      </c>
      <c r="E12" s="55">
        <f>+D12/$S$7</f>
        <v>0</v>
      </c>
      <c r="F12" s="55">
        <f t="shared" si="0"/>
        <v>0</v>
      </c>
      <c r="G12" s="31" t="s">
        <v>359</v>
      </c>
      <c r="H12" s="56"/>
      <c r="I12" s="31"/>
      <c r="J12" s="31"/>
      <c r="K12" s="31">
        <v>23</v>
      </c>
      <c r="L12" s="31">
        <f>+K12*26</f>
        <v>598</v>
      </c>
      <c r="M12" s="31">
        <f>+L12*J12</f>
        <v>0</v>
      </c>
      <c r="N12" s="59">
        <f>M12*$S$4</f>
        <v>0</v>
      </c>
      <c r="O12" s="64" t="e">
        <f>N12/D12</f>
        <v>#DIV/0!</v>
      </c>
    </row>
    <row r="13" spans="2:20" x14ac:dyDescent="0.25">
      <c r="B13" s="191" t="s">
        <v>360</v>
      </c>
      <c r="C13" s="12" t="s">
        <v>10</v>
      </c>
      <c r="D13" s="12">
        <v>8372</v>
      </c>
      <c r="E13" s="55">
        <f>+D13/$S$7</f>
        <v>322</v>
      </c>
      <c r="F13" s="55">
        <f t="shared" si="0"/>
        <v>14</v>
      </c>
      <c r="G13" s="31" t="s">
        <v>361</v>
      </c>
      <c r="H13" s="56" t="s">
        <v>362</v>
      </c>
      <c r="I13" s="31">
        <v>8.3000000000000007</v>
      </c>
      <c r="J13" s="31">
        <f t="shared" ref="J13:J16" si="3">I13</f>
        <v>8.3000000000000007</v>
      </c>
      <c r="K13" s="31">
        <v>23</v>
      </c>
      <c r="L13" s="31">
        <f t="shared" ref="L13:L18" si="4">+K13*26</f>
        <v>598</v>
      </c>
      <c r="M13" s="31">
        <f>+L13*J13</f>
        <v>4963.4000000000005</v>
      </c>
      <c r="N13" s="59">
        <f>M13*$S$4</f>
        <v>2595858.2000000002</v>
      </c>
      <c r="O13" s="64">
        <f>N13/D13</f>
        <v>310.06428571428575</v>
      </c>
    </row>
    <row r="14" spans="2:20" x14ac:dyDescent="0.25">
      <c r="B14" s="191" t="s">
        <v>363</v>
      </c>
      <c r="C14" s="12" t="s">
        <v>15</v>
      </c>
      <c r="D14" s="12">
        <v>8372</v>
      </c>
      <c r="E14" s="55">
        <f t="shared" ref="E14" si="5">+D14/$S$7</f>
        <v>322</v>
      </c>
      <c r="F14" s="55">
        <f t="shared" si="0"/>
        <v>14</v>
      </c>
      <c r="G14" s="31"/>
      <c r="H14" s="56" t="s">
        <v>364</v>
      </c>
      <c r="I14" s="31"/>
      <c r="J14" s="31"/>
      <c r="K14" s="31">
        <v>23</v>
      </c>
      <c r="L14" s="31"/>
      <c r="M14" s="31"/>
      <c r="N14" s="59"/>
      <c r="O14" s="64"/>
    </row>
    <row r="15" spans="2:20" ht="15.75" thickBot="1" x14ac:dyDescent="0.3">
      <c r="B15" s="192" t="s">
        <v>366</v>
      </c>
      <c r="C15" s="82" t="s">
        <v>131</v>
      </c>
      <c r="D15" s="82">
        <v>5980</v>
      </c>
      <c r="E15" s="83">
        <f>+D15/$S$7</f>
        <v>230</v>
      </c>
      <c r="F15" s="83">
        <f t="shared" si="0"/>
        <v>10</v>
      </c>
      <c r="G15" s="65"/>
      <c r="H15" s="67"/>
      <c r="I15" s="65"/>
      <c r="J15" s="65"/>
      <c r="K15" s="65">
        <v>23</v>
      </c>
      <c r="L15" s="65"/>
      <c r="M15" s="65"/>
      <c r="N15" s="84"/>
      <c r="O15" s="66"/>
    </row>
    <row r="16" spans="2:20" x14ac:dyDescent="0.25">
      <c r="B16" s="190" t="s">
        <v>365</v>
      </c>
      <c r="C16" s="79" t="s">
        <v>16</v>
      </c>
      <c r="D16" s="79">
        <f>+D14-D15</f>
        <v>2392</v>
      </c>
      <c r="E16" s="80">
        <f>+D16/$S$7</f>
        <v>92</v>
      </c>
      <c r="F16" s="80">
        <f t="shared" si="0"/>
        <v>4</v>
      </c>
      <c r="G16" s="62"/>
      <c r="H16" s="61" t="s">
        <v>367</v>
      </c>
      <c r="I16" s="62">
        <v>18.5</v>
      </c>
      <c r="J16" s="62">
        <f t="shared" si="3"/>
        <v>18.5</v>
      </c>
      <c r="K16" s="62">
        <v>23</v>
      </c>
      <c r="L16" s="62">
        <f t="shared" si="4"/>
        <v>598</v>
      </c>
      <c r="M16" s="62">
        <f t="shared" ref="M16:M18" si="6">+L16*J16</f>
        <v>11063</v>
      </c>
      <c r="N16" s="81">
        <f>M16*$S$4</f>
        <v>5785949</v>
      </c>
      <c r="O16" s="63">
        <f>N16/D16</f>
        <v>2418.875</v>
      </c>
    </row>
    <row r="17" spans="2:15" x14ac:dyDescent="0.25">
      <c r="B17" s="191" t="s">
        <v>368</v>
      </c>
      <c r="C17" s="12" t="s">
        <v>18</v>
      </c>
      <c r="D17" s="12">
        <f>+D16</f>
        <v>2392</v>
      </c>
      <c r="E17" s="55">
        <f t="shared" ref="E17:E18" si="7">+D17/$S$7</f>
        <v>92</v>
      </c>
      <c r="F17" s="55">
        <f t="shared" si="0"/>
        <v>11.5</v>
      </c>
      <c r="G17" s="31"/>
      <c r="H17" s="56" t="s">
        <v>369</v>
      </c>
      <c r="I17" s="32">
        <f>10/0.75</f>
        <v>13.333333333333334</v>
      </c>
      <c r="J17" s="32">
        <f>+I17</f>
        <v>13.333333333333334</v>
      </c>
      <c r="K17" s="31">
        <v>8</v>
      </c>
      <c r="L17" s="31"/>
      <c r="M17" s="31"/>
      <c r="N17" s="59"/>
      <c r="O17" s="64"/>
    </row>
    <row r="18" spans="2:15" ht="15.75" thickBot="1" x14ac:dyDescent="0.3">
      <c r="B18" s="194" t="s">
        <v>370</v>
      </c>
      <c r="C18" s="86" t="s">
        <v>130</v>
      </c>
      <c r="D18" s="86">
        <f>+D17</f>
        <v>2392</v>
      </c>
      <c r="E18" s="87">
        <f t="shared" si="7"/>
        <v>92</v>
      </c>
      <c r="F18" s="87">
        <f t="shared" si="0"/>
        <v>11.5</v>
      </c>
      <c r="G18" s="88" t="s">
        <v>371</v>
      </c>
      <c r="H18" s="89"/>
      <c r="I18" s="88"/>
      <c r="J18" s="88"/>
      <c r="K18" s="88">
        <f>+K17</f>
        <v>8</v>
      </c>
      <c r="L18" s="88">
        <f t="shared" si="4"/>
        <v>208</v>
      </c>
      <c r="M18" s="88">
        <f t="shared" si="6"/>
        <v>0</v>
      </c>
      <c r="N18" s="90">
        <f>M18*$S$4</f>
        <v>0</v>
      </c>
      <c r="O18" s="91">
        <f>N18/D18</f>
        <v>0</v>
      </c>
    </row>
    <row r="19" spans="2:15" x14ac:dyDescent="0.25">
      <c r="B19" s="190" t="s">
        <v>374</v>
      </c>
      <c r="C19" s="79" t="s">
        <v>32</v>
      </c>
      <c r="D19" s="79">
        <f>26*L19</f>
        <v>18.72</v>
      </c>
      <c r="E19" s="80">
        <f>+D19/$S$7</f>
        <v>0.72</v>
      </c>
      <c r="F19" s="80">
        <f t="shared" si="0"/>
        <v>26</v>
      </c>
      <c r="G19" s="62"/>
      <c r="H19" s="188" t="s">
        <v>373</v>
      </c>
      <c r="I19" s="62">
        <f>68/1000</f>
        <v>6.8000000000000005E-2</v>
      </c>
      <c r="J19" s="62">
        <f>+I19</f>
        <v>6.8000000000000005E-2</v>
      </c>
      <c r="K19" s="199">
        <f>+L19/26</f>
        <v>2.769230769230769E-2</v>
      </c>
      <c r="L19" s="196">
        <v>0.72</v>
      </c>
      <c r="M19" s="196">
        <f t="shared" ref="M19:M20" si="8">+L19*J19</f>
        <v>4.8960000000000004E-2</v>
      </c>
      <c r="N19" s="197">
        <f t="shared" ref="N19:N20" si="9">M19*$S$4</f>
        <v>25.606080000000002</v>
      </c>
      <c r="O19" s="198">
        <f t="shared" ref="O19:O20" si="10">N19/D19</f>
        <v>1.3678461538461542</v>
      </c>
    </row>
    <row r="20" spans="2:15" ht="15.75" thickBot="1" x14ac:dyDescent="0.3">
      <c r="B20" s="192" t="s">
        <v>374</v>
      </c>
      <c r="C20" s="82" t="s">
        <v>32</v>
      </c>
      <c r="D20" s="82">
        <f>26*L20</f>
        <v>89.96</v>
      </c>
      <c r="E20" s="83">
        <f>+D20/$S$7</f>
        <v>3.46</v>
      </c>
      <c r="F20" s="83">
        <f t="shared" ref="F20" si="11">E20/K20</f>
        <v>26.000000000000004</v>
      </c>
      <c r="G20" s="65"/>
      <c r="H20" s="195" t="s">
        <v>375</v>
      </c>
      <c r="I20" s="65">
        <v>2.48</v>
      </c>
      <c r="J20" s="65">
        <f>+I20</f>
        <v>2.48</v>
      </c>
      <c r="K20" s="83">
        <f>+L20/26</f>
        <v>0.13307692307692306</v>
      </c>
      <c r="L20" s="65">
        <v>3.46</v>
      </c>
      <c r="M20" s="65">
        <f t="shared" si="8"/>
        <v>8.5808</v>
      </c>
      <c r="N20" s="84">
        <f t="shared" si="9"/>
        <v>4487.7583999999997</v>
      </c>
      <c r="O20" s="66">
        <f t="shared" si="10"/>
        <v>49.886153846153846</v>
      </c>
    </row>
    <row r="23" spans="2:15" x14ac:dyDescent="0.25">
      <c r="G23" s="2">
        <f>+H23/60</f>
        <v>8</v>
      </c>
      <c r="H23" s="2">
        <v>480</v>
      </c>
      <c r="I23" s="2" t="s">
        <v>378</v>
      </c>
      <c r="J23" s="2" t="s">
        <v>379</v>
      </c>
    </row>
    <row r="24" spans="2:15" x14ac:dyDescent="0.25">
      <c r="G24" s="2">
        <f>+G23*26</f>
        <v>208</v>
      </c>
    </row>
    <row r="25" spans="2:15" x14ac:dyDescent="0.25">
      <c r="G25" s="2">
        <f>+G24/60</f>
        <v>3.4666666666666668</v>
      </c>
    </row>
  </sheetData>
  <mergeCells count="17">
    <mergeCell ref="D2:G2"/>
    <mergeCell ref="H2:O2"/>
    <mergeCell ref="R2:S2"/>
    <mergeCell ref="N3:N5"/>
    <mergeCell ref="O3:O5"/>
    <mergeCell ref="B3:B5"/>
    <mergeCell ref="C3:C5"/>
    <mergeCell ref="D3:D5"/>
    <mergeCell ref="L3:L5"/>
    <mergeCell ref="M3:M5"/>
    <mergeCell ref="E3:E5"/>
    <mergeCell ref="F3:F5"/>
    <mergeCell ref="G3:G5"/>
    <mergeCell ref="J3:J5"/>
    <mergeCell ref="H3:H5"/>
    <mergeCell ref="I3:I5"/>
    <mergeCell ref="K3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 POR FASE</vt:lpstr>
      <vt:lpstr>CONS POR LINEA</vt:lpstr>
      <vt:lpstr>CALC ENERGIA</vt:lpstr>
      <vt:lpstr>Q POR CAJAS</vt:lpstr>
      <vt:lpstr>EQUIPOS</vt:lpstr>
      <vt:lpstr>DIAGRAMA COSTOS</vt:lpstr>
      <vt:lpstr>PTAP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2025-03-14T17:53:40Z</dcterms:created>
  <dcterms:modified xsi:type="dcterms:W3CDTF">2026-05-29T20:43:30Z</dcterms:modified>
</cp:coreProperties>
</file>