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CALIDAD DE AGUA Vs COSTOS\DASHBOARD COSTOS\"/>
    </mc:Choice>
  </mc:AlternateContent>
  <xr:revisionPtr revIDLastSave="0" documentId="13_ncr:1_{1DD721AD-3D35-47FF-BEA8-C52C1DECF84C}" xr6:coauthVersionLast="47" xr6:coauthVersionMax="47" xr10:uidLastSave="{00000000-0000-0000-0000-000000000000}"/>
  <bookViews>
    <workbookView xWindow="-108" yWindow="-108" windowWidth="19416" windowHeight="10296" tabRatio="766" firstSheet="1" activeTab="1" xr2:uid="{E6F4B368-D079-49CA-BD04-88FCAF32A55F}"/>
  </bookViews>
  <sheets>
    <sheet name="INVENTARIO Y CONSUMO GEM  " sheetId="13" state="hidden" r:id="rId1"/>
    <sheet name="DB QUIMICA" sheetId="14" r:id="rId2"/>
    <sheet name="GRAFICAS" sheetId="27" r:id="rId3"/>
    <sheet name="INFORME CALIDAD" sheetId="28" state="hidden" r:id="rId4"/>
    <sheet name="CONSUMO QUÍMICA-CAUDALES GEM  " sheetId="16" state="hidden" r:id="rId5"/>
    <sheet name="INVENTARIO INSUMOS QUÍMICOS GEM" sheetId="6" state="hidden" r:id="rId6"/>
    <sheet name="REGISTRO RO" sheetId="20" state="hidden" r:id="rId7"/>
    <sheet name="CONSUMO QUÍMICA - CAUDALES RO" sheetId="24" state="hidden" r:id="rId8"/>
    <sheet name="INVENTARIO INSUMOS QUÍMICOS RO" sheetId="9" state="hidden" r:id="rId9"/>
    <sheet name="Consumos" sheetId="25" state="hidden" r:id="rId10"/>
  </sheets>
  <definedNames>
    <definedName name="SegmentaciónDeDatos_DIA">#N/A</definedName>
    <definedName name="SegmentaciónDeDatos_FECHA1">#N/A</definedName>
    <definedName name="SegmentaciónDeDatos_FECHA2">#N/A</definedName>
  </definedNames>
  <calcPr calcId="191029"/>
  <pivotCaches>
    <pivotCache cacheId="28" r:id="rId11"/>
    <pivotCache cacheId="29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27" l="1"/>
  <c r="B82" i="27"/>
  <c r="S36" i="27"/>
  <c r="R36" i="27"/>
  <c r="Q36" i="27"/>
  <c r="S35" i="27"/>
  <c r="R35" i="27"/>
  <c r="Q35" i="27"/>
  <c r="S34" i="27"/>
  <c r="R34" i="27"/>
  <c r="Q34" i="27"/>
  <c r="S29" i="27"/>
  <c r="R29" i="27"/>
  <c r="Q29" i="27"/>
  <c r="S28" i="27"/>
  <c r="R28" i="27"/>
  <c r="Q28" i="27"/>
  <c r="S27" i="27"/>
  <c r="R27" i="27"/>
  <c r="Q27" i="27"/>
  <c r="T22" i="27"/>
  <c r="S22" i="27"/>
  <c r="R22" i="27"/>
  <c r="Q22" i="27"/>
  <c r="T21" i="27"/>
  <c r="S21" i="27"/>
  <c r="R21" i="27"/>
  <c r="Q21" i="27"/>
  <c r="T20" i="27"/>
  <c r="S20" i="27"/>
  <c r="R20" i="27"/>
  <c r="Q20" i="27"/>
  <c r="T15" i="27"/>
  <c r="S15" i="27"/>
  <c r="R15" i="27"/>
  <c r="Q15" i="27"/>
  <c r="T14" i="27"/>
  <c r="S14" i="27"/>
  <c r="R14" i="27"/>
  <c r="Q14" i="27"/>
  <c r="T13" i="27"/>
  <c r="S13" i="27"/>
  <c r="R13" i="27"/>
  <c r="Q13" i="27"/>
  <c r="T8" i="27"/>
  <c r="S8" i="27"/>
  <c r="R8" i="27"/>
  <c r="Q8" i="27"/>
  <c r="T7" i="27"/>
  <c r="S7" i="27"/>
  <c r="R7" i="27"/>
  <c r="Q7" i="27"/>
  <c r="T6" i="27"/>
  <c r="S6" i="27"/>
  <c r="R6" i="27"/>
  <c r="Q6" i="27"/>
  <c r="E105" i="27"/>
  <c r="AK3" i="20" l="1"/>
  <c r="AL3" i="20"/>
  <c r="AM3" i="20"/>
  <c r="AN3" i="20"/>
  <c r="AO3" i="20"/>
  <c r="AK4" i="20"/>
  <c r="AL4" i="20"/>
  <c r="AM4" i="20"/>
  <c r="AN4" i="20"/>
  <c r="AO4" i="20"/>
  <c r="AK5" i="20"/>
  <c r="AL5" i="20"/>
  <c r="AM5" i="20"/>
  <c r="AN5" i="20"/>
  <c r="AO5" i="20"/>
  <c r="AK6" i="20"/>
  <c r="AL6" i="20"/>
  <c r="AM6" i="20"/>
  <c r="AN6" i="20"/>
  <c r="AO6" i="20"/>
  <c r="AK7" i="20"/>
  <c r="AL7" i="20"/>
  <c r="AM7" i="20"/>
  <c r="AN7" i="20"/>
  <c r="AO7" i="20"/>
  <c r="AK8" i="20"/>
  <c r="AL8" i="20"/>
  <c r="AM8" i="20"/>
  <c r="AN8" i="20"/>
  <c r="AO8" i="20"/>
  <c r="AK9" i="20"/>
  <c r="AL9" i="20"/>
  <c r="AM9" i="20"/>
  <c r="AN9" i="20"/>
  <c r="AO9" i="20"/>
  <c r="AK10" i="20"/>
  <c r="AL10" i="20"/>
  <c r="AM10" i="20"/>
  <c r="AN10" i="20"/>
  <c r="AO10" i="20"/>
  <c r="AK11" i="20"/>
  <c r="AL11" i="20"/>
  <c r="AM11" i="20"/>
  <c r="AN11" i="20"/>
  <c r="AO11" i="20"/>
  <c r="AK12" i="20"/>
  <c r="AL12" i="20"/>
  <c r="AM12" i="20"/>
  <c r="AN12" i="20"/>
  <c r="AO12" i="20"/>
  <c r="AK13" i="20"/>
  <c r="AL13" i="20"/>
  <c r="AM13" i="20"/>
  <c r="AN13" i="20"/>
  <c r="AO13" i="20"/>
  <c r="AK14" i="20"/>
  <c r="AL14" i="20"/>
  <c r="AM14" i="20"/>
  <c r="AN14" i="20"/>
  <c r="AO14" i="20"/>
  <c r="AK15" i="20"/>
  <c r="AL15" i="20"/>
  <c r="AM15" i="20"/>
  <c r="AN15" i="20"/>
  <c r="AO15" i="20"/>
  <c r="AK16" i="20"/>
  <c r="AL16" i="20"/>
  <c r="AM16" i="20"/>
  <c r="AN16" i="20"/>
  <c r="AO16" i="20"/>
  <c r="AK17" i="20"/>
  <c r="AL17" i="20"/>
  <c r="AM17" i="20"/>
  <c r="AN17" i="20"/>
  <c r="AO17" i="20"/>
  <c r="AK18" i="20"/>
  <c r="AL18" i="20"/>
  <c r="AM18" i="20"/>
  <c r="AN18" i="20"/>
  <c r="AO18" i="20"/>
  <c r="AK19" i="20"/>
  <c r="AL19" i="20"/>
  <c r="AM19" i="20"/>
  <c r="AN19" i="20"/>
  <c r="AO19" i="20"/>
  <c r="AK20" i="20"/>
  <c r="AL20" i="20"/>
  <c r="AM20" i="20"/>
  <c r="AN20" i="20"/>
  <c r="AO20" i="20"/>
  <c r="AK21" i="20"/>
  <c r="AL21" i="20"/>
  <c r="AM21" i="20"/>
  <c r="AN21" i="20"/>
  <c r="AO21" i="20"/>
  <c r="AK22" i="20"/>
  <c r="AL22" i="20"/>
  <c r="AM22" i="20"/>
  <c r="AN22" i="20"/>
  <c r="AO22" i="20"/>
  <c r="AK23" i="20"/>
  <c r="AL23" i="20"/>
  <c r="AM23" i="20"/>
  <c r="AN23" i="20"/>
  <c r="AO23" i="20"/>
  <c r="AK24" i="20"/>
  <c r="AL24" i="20"/>
  <c r="AM24" i="20"/>
  <c r="AN24" i="20"/>
  <c r="AO24" i="20"/>
  <c r="AK25" i="20"/>
  <c r="AL25" i="20"/>
  <c r="AM25" i="20"/>
  <c r="AN25" i="20"/>
  <c r="AO25" i="20"/>
  <c r="AK26" i="20"/>
  <c r="AL26" i="20"/>
  <c r="AM26" i="20"/>
  <c r="AN26" i="20"/>
  <c r="AO26" i="20"/>
  <c r="AK27" i="20"/>
  <c r="AL27" i="20"/>
  <c r="AM27" i="20"/>
  <c r="AN27" i="20"/>
  <c r="AO27" i="20"/>
  <c r="AK28" i="20"/>
  <c r="AL28" i="20"/>
  <c r="AM28" i="20"/>
  <c r="AN28" i="20"/>
  <c r="AO28" i="20"/>
  <c r="AK29" i="20"/>
  <c r="AL29" i="20"/>
  <c r="AM29" i="20"/>
  <c r="AN29" i="20"/>
  <c r="AO29" i="20"/>
  <c r="AK30" i="20"/>
  <c r="AL30" i="20"/>
  <c r="AM30" i="20"/>
  <c r="AN30" i="20"/>
  <c r="AO30" i="20"/>
  <c r="AK31" i="20"/>
  <c r="AL31" i="20"/>
  <c r="AM31" i="20"/>
  <c r="AN31" i="20"/>
  <c r="AO31" i="20"/>
  <c r="AK32" i="20"/>
  <c r="AL32" i="20"/>
  <c r="AM32" i="20"/>
  <c r="AN32" i="20"/>
  <c r="AO32" i="20"/>
  <c r="AK33" i="20"/>
  <c r="AL33" i="20"/>
  <c r="AM33" i="20"/>
  <c r="AN33" i="20"/>
  <c r="AO33" i="20"/>
  <c r="AK34" i="20"/>
  <c r="AL34" i="20"/>
  <c r="AM34" i="20"/>
  <c r="AN34" i="20"/>
  <c r="AO34" i="20"/>
  <c r="AK35" i="20"/>
  <c r="AL35" i="20"/>
  <c r="AM35" i="20"/>
  <c r="AN35" i="20"/>
  <c r="AO35" i="20"/>
  <c r="AK36" i="20"/>
  <c r="AL36" i="20"/>
  <c r="AM36" i="20"/>
  <c r="AN36" i="20"/>
  <c r="AO36" i="20"/>
  <c r="AK37" i="20"/>
  <c r="AL37" i="20"/>
  <c r="AM37" i="20"/>
  <c r="AN37" i="20"/>
  <c r="AO37" i="20"/>
  <c r="AK38" i="20"/>
  <c r="AL38" i="20"/>
  <c r="AM38" i="20"/>
  <c r="AN38" i="20"/>
  <c r="AO38" i="20"/>
  <c r="AK39" i="20"/>
  <c r="AL39" i="20"/>
  <c r="AM39" i="20"/>
  <c r="AN39" i="20"/>
  <c r="AO39" i="20"/>
  <c r="AK40" i="20"/>
  <c r="AL40" i="20"/>
  <c r="AM40" i="20"/>
  <c r="AN40" i="20"/>
  <c r="AO40" i="20"/>
  <c r="AK41" i="20"/>
  <c r="AL41" i="20"/>
  <c r="AM41" i="20"/>
  <c r="AN41" i="20"/>
  <c r="AO41" i="20"/>
  <c r="AK42" i="20"/>
  <c r="AL42" i="20"/>
  <c r="AM42" i="20"/>
  <c r="AN42" i="20"/>
  <c r="AO42" i="20"/>
  <c r="AK43" i="20"/>
  <c r="AL43" i="20"/>
  <c r="AM43" i="20"/>
  <c r="AN43" i="20"/>
  <c r="AO43" i="20"/>
  <c r="AK44" i="20"/>
  <c r="AL44" i="20"/>
  <c r="AM44" i="20"/>
  <c r="AN44" i="20"/>
  <c r="AO44" i="20"/>
  <c r="AK45" i="20"/>
  <c r="AL45" i="20"/>
  <c r="AM45" i="20"/>
  <c r="AN45" i="20"/>
  <c r="AO45" i="20"/>
  <c r="AK46" i="20"/>
  <c r="AL46" i="20"/>
  <c r="AM46" i="20"/>
  <c r="AN46" i="20"/>
  <c r="AO46" i="20"/>
  <c r="AK47" i="20"/>
  <c r="AL47" i="20"/>
  <c r="AM47" i="20"/>
  <c r="AN47" i="20"/>
  <c r="AO47" i="20"/>
  <c r="AK48" i="20"/>
  <c r="AL48" i="20"/>
  <c r="AM48" i="20"/>
  <c r="AN48" i="20"/>
  <c r="AO48" i="20"/>
  <c r="AK49" i="20"/>
  <c r="AL49" i="20"/>
  <c r="AM49" i="20"/>
  <c r="AN49" i="20"/>
  <c r="AO49" i="20"/>
  <c r="AK50" i="20"/>
  <c r="AL50" i="20"/>
  <c r="AM50" i="20"/>
  <c r="AN50" i="20"/>
  <c r="AO50" i="20"/>
  <c r="AK51" i="20"/>
  <c r="AL51" i="20"/>
  <c r="AM51" i="20"/>
  <c r="AN51" i="20"/>
  <c r="AO51" i="20"/>
  <c r="AK52" i="20"/>
  <c r="AL52" i="20"/>
  <c r="AM52" i="20"/>
  <c r="AN52" i="20"/>
  <c r="AO52" i="20"/>
  <c r="AK53" i="20"/>
  <c r="AL53" i="20"/>
  <c r="AM53" i="20"/>
  <c r="AN53" i="20"/>
  <c r="AO53" i="20"/>
  <c r="AK54" i="20"/>
  <c r="AL54" i="20"/>
  <c r="AM54" i="20"/>
  <c r="AN54" i="20"/>
  <c r="AO54" i="20"/>
  <c r="AK55" i="20"/>
  <c r="AL55" i="20"/>
  <c r="AM55" i="20"/>
  <c r="AN55" i="20"/>
  <c r="AO55" i="20"/>
  <c r="AK56" i="20"/>
  <c r="AL56" i="20"/>
  <c r="AM56" i="20"/>
  <c r="AN56" i="20"/>
  <c r="AO56" i="20"/>
  <c r="AK57" i="20"/>
  <c r="AL57" i="20"/>
  <c r="AM57" i="20"/>
  <c r="AN57" i="20"/>
  <c r="AO57" i="20"/>
  <c r="AK58" i="20"/>
  <c r="AL58" i="20"/>
  <c r="AM58" i="20"/>
  <c r="AN58" i="20"/>
  <c r="AO58" i="20"/>
  <c r="AK59" i="20"/>
  <c r="AL59" i="20"/>
  <c r="AM59" i="20"/>
  <c r="AN59" i="20"/>
  <c r="AO59" i="20"/>
  <c r="AK60" i="20"/>
  <c r="AL60" i="20"/>
  <c r="AM60" i="20"/>
  <c r="AN60" i="20"/>
  <c r="AO60" i="20"/>
  <c r="AK61" i="20"/>
  <c r="AL61" i="20"/>
  <c r="AM61" i="20"/>
  <c r="AN61" i="20"/>
  <c r="AO61" i="20"/>
  <c r="AK62" i="20"/>
  <c r="AL62" i="20"/>
  <c r="AM62" i="20"/>
  <c r="AN62" i="20"/>
  <c r="AO62" i="20"/>
  <c r="AK63" i="20"/>
  <c r="AL63" i="20"/>
  <c r="AM63" i="20"/>
  <c r="AN63" i="20"/>
  <c r="AO63" i="20"/>
  <c r="AK64" i="20"/>
  <c r="AL64" i="20"/>
  <c r="AM64" i="20"/>
  <c r="AN64" i="20"/>
  <c r="AO64" i="20"/>
  <c r="AK65" i="20"/>
  <c r="AL65" i="20"/>
  <c r="AM65" i="20"/>
  <c r="AN65" i="20"/>
  <c r="AO65" i="20"/>
  <c r="AK66" i="20"/>
  <c r="AL66" i="20"/>
  <c r="AM66" i="20"/>
  <c r="AN66" i="20"/>
  <c r="AO66" i="20"/>
  <c r="AK67" i="20"/>
  <c r="AL67" i="20"/>
  <c r="AM67" i="20"/>
  <c r="AN67" i="20"/>
  <c r="AO67" i="20"/>
  <c r="AK68" i="20"/>
  <c r="AL68" i="20"/>
  <c r="AM68" i="20"/>
  <c r="AN68" i="20"/>
  <c r="AO68" i="20"/>
  <c r="AK69" i="20"/>
  <c r="AL69" i="20"/>
  <c r="AM69" i="20"/>
  <c r="AN69" i="20"/>
  <c r="AO69" i="20"/>
  <c r="AK70" i="20"/>
  <c r="AL70" i="20"/>
  <c r="AM70" i="20"/>
  <c r="AN70" i="20"/>
  <c r="AO70" i="20"/>
  <c r="AK71" i="20"/>
  <c r="AL71" i="20"/>
  <c r="AM71" i="20"/>
  <c r="AN71" i="20"/>
  <c r="AO71" i="20"/>
  <c r="AK72" i="20"/>
  <c r="AL72" i="20"/>
  <c r="AM72" i="20"/>
  <c r="AN72" i="20"/>
  <c r="AO72" i="20"/>
  <c r="AK73" i="20"/>
  <c r="AL73" i="20"/>
  <c r="AM73" i="20"/>
  <c r="AN73" i="20"/>
  <c r="AO73" i="20"/>
  <c r="AK74" i="20"/>
  <c r="AL74" i="20"/>
  <c r="AM74" i="20"/>
  <c r="AN74" i="20"/>
  <c r="AO74" i="20"/>
  <c r="AK75" i="20"/>
  <c r="AL75" i="20"/>
  <c r="AM75" i="20"/>
  <c r="AN75" i="20"/>
  <c r="AO75" i="20"/>
  <c r="AK76" i="20"/>
  <c r="AL76" i="20"/>
  <c r="AM76" i="20"/>
  <c r="AN76" i="20"/>
  <c r="AO76" i="20"/>
  <c r="AK77" i="20"/>
  <c r="AL77" i="20"/>
  <c r="AM77" i="20"/>
  <c r="AN77" i="20"/>
  <c r="AO77" i="20"/>
  <c r="AK78" i="20"/>
  <c r="AL78" i="20"/>
  <c r="AM78" i="20"/>
  <c r="AN78" i="20"/>
  <c r="AO78" i="20"/>
  <c r="AK79" i="20"/>
  <c r="AL79" i="20"/>
  <c r="AM79" i="20"/>
  <c r="AN79" i="20"/>
  <c r="AO79" i="20"/>
  <c r="AK80" i="20"/>
  <c r="AL80" i="20"/>
  <c r="AM80" i="20"/>
  <c r="AN80" i="20"/>
  <c r="AO80" i="20"/>
  <c r="AK81" i="20"/>
  <c r="AL81" i="20"/>
  <c r="AM81" i="20"/>
  <c r="AN81" i="20"/>
  <c r="AO81" i="20"/>
  <c r="AK82" i="20"/>
  <c r="AL82" i="20"/>
  <c r="AM82" i="20"/>
  <c r="AN82" i="20"/>
  <c r="AO82" i="20"/>
  <c r="AK83" i="20"/>
  <c r="AL83" i="20"/>
  <c r="AM83" i="20"/>
  <c r="AN83" i="20"/>
  <c r="AO83" i="20"/>
  <c r="AK84" i="20"/>
  <c r="AL84" i="20"/>
  <c r="AM84" i="20"/>
  <c r="AN84" i="20"/>
  <c r="AO84" i="20"/>
  <c r="AK85" i="20"/>
  <c r="AL85" i="20"/>
  <c r="AM85" i="20"/>
  <c r="AN85" i="20"/>
  <c r="AO85" i="20"/>
  <c r="AK86" i="20"/>
  <c r="AL86" i="20"/>
  <c r="AM86" i="20"/>
  <c r="AN86" i="20"/>
  <c r="AO86" i="20"/>
  <c r="AK87" i="20"/>
  <c r="AL87" i="20"/>
  <c r="AM87" i="20"/>
  <c r="AN87" i="20"/>
  <c r="AO87" i="20"/>
  <c r="AK88" i="20"/>
  <c r="AL88" i="20"/>
  <c r="AM88" i="20"/>
  <c r="AN88" i="20"/>
  <c r="AO88" i="20"/>
  <c r="AK89" i="20"/>
  <c r="AL89" i="20"/>
  <c r="AM89" i="20"/>
  <c r="AN89" i="20"/>
  <c r="AO89" i="20"/>
  <c r="AK90" i="20"/>
  <c r="AL90" i="20"/>
  <c r="AM90" i="20"/>
  <c r="AN90" i="20"/>
  <c r="AO90" i="20"/>
  <c r="AK91" i="20"/>
  <c r="AL91" i="20"/>
  <c r="AM91" i="20"/>
  <c r="AN91" i="20"/>
  <c r="AO91" i="20"/>
  <c r="AK92" i="20"/>
  <c r="AL92" i="20"/>
  <c r="AM92" i="20"/>
  <c r="AN92" i="20"/>
  <c r="AO92" i="20"/>
  <c r="AK93" i="20"/>
  <c r="AL93" i="20"/>
  <c r="AM93" i="20"/>
  <c r="AN93" i="20"/>
  <c r="AO93" i="20"/>
  <c r="AK94" i="20"/>
  <c r="AL94" i="20"/>
  <c r="AM94" i="20"/>
  <c r="AN94" i="20"/>
  <c r="AO94" i="20"/>
  <c r="AK95" i="20"/>
  <c r="AL95" i="20"/>
  <c r="AM95" i="20"/>
  <c r="AN95" i="20"/>
  <c r="AO95" i="20"/>
  <c r="AU2" i="13"/>
  <c r="AU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R23" i="27"/>
  <c r="Z8" i="14"/>
  <c r="R37" i="27"/>
  <c r="S16" i="27"/>
  <c r="R30" i="27"/>
  <c r="R16" i="27"/>
  <c r="R9" i="27"/>
  <c r="S23" i="27"/>
  <c r="AD25" i="14"/>
  <c r="S9" i="27"/>
  <c r="S37" i="27" l="1"/>
  <c r="S30" i="27"/>
  <c r="T16" i="27"/>
  <c r="T23" i="27"/>
  <c r="T9" i="27"/>
  <c r="AR4" i="20"/>
  <c r="AQ4" i="20"/>
  <c r="AP4" i="20"/>
  <c r="AU4" i="20" s="1"/>
  <c r="AV3" i="20"/>
  <c r="AT3" i="20"/>
  <c r="AS3" i="20"/>
  <c r="AR3" i="20"/>
  <c r="AW3" i="20" s="1"/>
  <c r="AQ3" i="20"/>
  <c r="AP3" i="20"/>
  <c r="AU3" i="20" s="1"/>
  <c r="AY2" i="20"/>
  <c r="AX2" i="20"/>
  <c r="AW2" i="20"/>
  <c r="AV2" i="20"/>
  <c r="AU2" i="20"/>
  <c r="AH95" i="20"/>
  <c r="AG95" i="20"/>
  <c r="AF95" i="20"/>
  <c r="AE95" i="20"/>
  <c r="AD95" i="20"/>
  <c r="AD8" i="14"/>
  <c r="AB25" i="14"/>
  <c r="AC25" i="14" l="1"/>
  <c r="AA8" i="14"/>
  <c r="H82" i="27"/>
  <c r="G86" i="27" s="1"/>
  <c r="H86" i="27" s="1"/>
  <c r="AV4" i="20"/>
  <c r="AQ5" i="20"/>
  <c r="AW4" i="20"/>
  <c r="AR5" i="20"/>
  <c r="AY3" i="20"/>
  <c r="AT4" i="20"/>
  <c r="AX3" i="20"/>
  <c r="AS4" i="20"/>
  <c r="AP5" i="20"/>
  <c r="AS5" i="20" l="1"/>
  <c r="AX4" i="20"/>
  <c r="AT5" i="20"/>
  <c r="AY4" i="20"/>
  <c r="AR6" i="20"/>
  <c r="AW5" i="20"/>
  <c r="AU5" i="20"/>
  <c r="AP6" i="20"/>
  <c r="AQ6" i="20"/>
  <c r="AV5" i="20"/>
  <c r="AP7" i="20" l="1"/>
  <c r="AU6" i="20"/>
  <c r="AY5" i="20"/>
  <c r="AT6" i="20"/>
  <c r="AW6" i="20"/>
  <c r="AR7" i="20"/>
  <c r="AQ7" i="20"/>
  <c r="AV6" i="20"/>
  <c r="AS6" i="20"/>
  <c r="AX5" i="20"/>
  <c r="AV7" i="20" l="1"/>
  <c r="AQ8" i="20"/>
  <c r="AW7" i="20"/>
  <c r="AR8" i="20"/>
  <c r="AY6" i="20"/>
  <c r="AT7" i="20"/>
  <c r="AX6" i="20"/>
  <c r="AS7" i="20"/>
  <c r="AU7" i="20"/>
  <c r="AP8" i="20"/>
  <c r="AY7" i="20" l="1"/>
  <c r="AT8" i="20"/>
  <c r="AW8" i="20"/>
  <c r="AR9" i="20"/>
  <c r="AU8" i="20"/>
  <c r="AP9" i="20"/>
  <c r="AV8" i="20"/>
  <c r="AQ9" i="20"/>
  <c r="AX7" i="20"/>
  <c r="AS8" i="20"/>
  <c r="AQ10" i="20" l="1"/>
  <c r="AV9" i="20"/>
  <c r="AU9" i="20"/>
  <c r="AP10" i="20"/>
  <c r="AR10" i="20"/>
  <c r="AW9" i="20"/>
  <c r="AS9" i="20"/>
  <c r="AX8" i="20"/>
  <c r="AT9" i="20"/>
  <c r="AY8" i="20"/>
  <c r="AW10" i="20" l="1"/>
  <c r="AR11" i="20"/>
  <c r="AP11" i="20"/>
  <c r="AU10" i="20"/>
  <c r="AS10" i="20"/>
  <c r="AX9" i="20"/>
  <c r="AY9" i="20"/>
  <c r="AT10" i="20"/>
  <c r="AQ11" i="20"/>
  <c r="AV10" i="20"/>
  <c r="AY10" i="20" l="1"/>
  <c r="AT11" i="20"/>
  <c r="AX10" i="20"/>
  <c r="AS11" i="20"/>
  <c r="AU11" i="20"/>
  <c r="AP12" i="20"/>
  <c r="AW11" i="20"/>
  <c r="AR12" i="20"/>
  <c r="AV11" i="20"/>
  <c r="AQ12" i="20"/>
  <c r="AW12" i="20" l="1"/>
  <c r="AR13" i="20"/>
  <c r="AU12" i="20"/>
  <c r="AP13" i="20"/>
  <c r="AX11" i="20"/>
  <c r="AS12" i="20"/>
  <c r="AV12" i="20"/>
  <c r="AQ13" i="20"/>
  <c r="AY11" i="20"/>
  <c r="AT12" i="20"/>
  <c r="AQ14" i="20" l="1"/>
  <c r="AV13" i="20"/>
  <c r="AS13" i="20"/>
  <c r="AX12" i="20"/>
  <c r="AU13" i="20"/>
  <c r="AP14" i="20"/>
  <c r="AT13" i="20"/>
  <c r="AY12" i="20"/>
  <c r="AR14" i="20"/>
  <c r="AW13" i="20"/>
  <c r="AP15" i="20" l="1"/>
  <c r="AU14" i="20"/>
  <c r="AY13" i="20"/>
  <c r="AT14" i="20"/>
  <c r="AS14" i="20"/>
  <c r="AX13" i="20"/>
  <c r="AW14" i="20"/>
  <c r="AR15" i="20"/>
  <c r="AQ15" i="20"/>
  <c r="AV14" i="20"/>
  <c r="AW15" i="20" l="1"/>
  <c r="AR16" i="20"/>
  <c r="AY14" i="20"/>
  <c r="AT15" i="20"/>
  <c r="AX14" i="20"/>
  <c r="AS15" i="20"/>
  <c r="AV15" i="20"/>
  <c r="AQ16" i="20"/>
  <c r="AU15" i="20"/>
  <c r="AP16" i="20"/>
  <c r="AV16" i="20" l="1"/>
  <c r="AQ17" i="20"/>
  <c r="AY15" i="20"/>
  <c r="AT16" i="20"/>
  <c r="AX15" i="20"/>
  <c r="AS16" i="20"/>
  <c r="AU16" i="20"/>
  <c r="AP17" i="20"/>
  <c r="AW16" i="20"/>
  <c r="AR17" i="20"/>
  <c r="AU17" i="20" l="1"/>
  <c r="AP18" i="20"/>
  <c r="AR18" i="20"/>
  <c r="AW17" i="20"/>
  <c r="AS17" i="20"/>
  <c r="AX16" i="20"/>
  <c r="AT17" i="20"/>
  <c r="AY16" i="20"/>
  <c r="AQ18" i="20"/>
  <c r="AV17" i="20"/>
  <c r="AQ19" i="20" l="1"/>
  <c r="AV18" i="20"/>
  <c r="AY17" i="20"/>
  <c r="AT18" i="20"/>
  <c r="AS18" i="20"/>
  <c r="AX17" i="20"/>
  <c r="AW18" i="20"/>
  <c r="AR19" i="20"/>
  <c r="AP19" i="20"/>
  <c r="AU18" i="20"/>
  <c r="AW19" i="20" l="1"/>
  <c r="AR20" i="20"/>
  <c r="AX18" i="20"/>
  <c r="AS19" i="20"/>
  <c r="AY18" i="20"/>
  <c r="AT19" i="20"/>
  <c r="AU19" i="20"/>
  <c r="AP20" i="20"/>
  <c r="AV19" i="20"/>
  <c r="AQ20" i="20"/>
  <c r="AU20" i="20" l="1"/>
  <c r="AP21" i="20"/>
  <c r="AY19" i="20"/>
  <c r="AT20" i="20"/>
  <c r="AX19" i="20"/>
  <c r="AS20" i="20"/>
  <c r="AV20" i="20"/>
  <c r="AQ21" i="20"/>
  <c r="AW20" i="20"/>
  <c r="AR21" i="20"/>
  <c r="AR22" i="20" l="1"/>
  <c r="AW21" i="20"/>
  <c r="AQ22" i="20"/>
  <c r="AV21" i="20"/>
  <c r="AS21" i="20"/>
  <c r="AX20" i="20"/>
  <c r="AT21" i="20"/>
  <c r="AY20" i="20"/>
  <c r="AU21" i="20"/>
  <c r="AP22" i="20"/>
  <c r="AW22" i="20" l="1"/>
  <c r="AR23" i="20"/>
  <c r="AY21" i="20"/>
  <c r="AT22" i="20"/>
  <c r="AS22" i="20"/>
  <c r="AX21" i="20"/>
  <c r="AQ23" i="20"/>
  <c r="AV22" i="20"/>
  <c r="AP23" i="20"/>
  <c r="AU22" i="20"/>
  <c r="AW23" i="20" l="1"/>
  <c r="AR24" i="20"/>
  <c r="AU23" i="20"/>
  <c r="AP24" i="20"/>
  <c r="AV23" i="20"/>
  <c r="AQ24" i="20"/>
  <c r="AX22" i="20"/>
  <c r="AS23" i="20"/>
  <c r="AY22" i="20"/>
  <c r="AT23" i="20"/>
  <c r="AU24" i="20" l="1"/>
  <c r="AP25" i="20"/>
  <c r="AV24" i="20"/>
  <c r="AQ25" i="20"/>
  <c r="AY23" i="20"/>
  <c r="AT24" i="20"/>
  <c r="AW24" i="20"/>
  <c r="AR25" i="20"/>
  <c r="AX23" i="20"/>
  <c r="AS24" i="20"/>
  <c r="AS25" i="20" l="1"/>
  <c r="AX24" i="20"/>
  <c r="AR26" i="20"/>
  <c r="AW25" i="20"/>
  <c r="AT25" i="20"/>
  <c r="AY24" i="20"/>
  <c r="AU25" i="20"/>
  <c r="AP26" i="20"/>
  <c r="AQ26" i="20"/>
  <c r="AV25" i="20"/>
  <c r="AP27" i="20" l="1"/>
  <c r="AU26" i="20"/>
  <c r="AY25" i="20"/>
  <c r="AT26" i="20"/>
  <c r="AW26" i="20"/>
  <c r="AR27" i="20"/>
  <c r="AQ27" i="20"/>
  <c r="AV26" i="20"/>
  <c r="AS26" i="20"/>
  <c r="AX25" i="20"/>
  <c r="AW27" i="20" l="1"/>
  <c r="AR28" i="20"/>
  <c r="AQ28" i="20"/>
  <c r="AV27" i="20"/>
  <c r="AY26" i="20"/>
  <c r="AT27" i="20"/>
  <c r="AX26" i="20"/>
  <c r="AS27" i="20"/>
  <c r="AU27" i="20"/>
  <c r="AP28" i="20"/>
  <c r="AX27" i="20" l="1"/>
  <c r="AS28" i="20"/>
  <c r="AY27" i="20"/>
  <c r="AT28" i="20"/>
  <c r="AV28" i="20"/>
  <c r="AQ29" i="20"/>
  <c r="AU28" i="20"/>
  <c r="AP29" i="20"/>
  <c r="AW28" i="20"/>
  <c r="AR29" i="20"/>
  <c r="AP30" i="20" l="1"/>
  <c r="AU29" i="20"/>
  <c r="AQ30" i="20"/>
  <c r="AV29" i="20"/>
  <c r="AT29" i="20"/>
  <c r="AY28" i="20"/>
  <c r="AR30" i="20"/>
  <c r="AW29" i="20"/>
  <c r="AS29" i="20"/>
  <c r="AX28" i="20"/>
  <c r="AR31" i="20" l="1"/>
  <c r="AW30" i="20"/>
  <c r="AT30" i="20"/>
  <c r="AY29" i="20"/>
  <c r="AQ31" i="20"/>
  <c r="AV30" i="20"/>
  <c r="AS30" i="20"/>
  <c r="AX29" i="20"/>
  <c r="AP31" i="20"/>
  <c r="AU30" i="20"/>
  <c r="AQ32" i="20" l="1"/>
  <c r="AV31" i="20"/>
  <c r="AY30" i="20"/>
  <c r="AT31" i="20"/>
  <c r="AS31" i="20"/>
  <c r="AX30" i="20"/>
  <c r="AU31" i="20"/>
  <c r="AP32" i="20"/>
  <c r="AW31" i="20"/>
  <c r="AR32" i="20"/>
  <c r="AW32" i="20" l="1"/>
  <c r="AR33" i="20"/>
  <c r="AV32" i="20"/>
  <c r="AQ33" i="20"/>
  <c r="AU32" i="20"/>
  <c r="AP33" i="20"/>
  <c r="AX31" i="20"/>
  <c r="AS32" i="20"/>
  <c r="AT32" i="20"/>
  <c r="AY31" i="20"/>
  <c r="AS33" i="20" l="1"/>
  <c r="AX32" i="20"/>
  <c r="AP34" i="20"/>
  <c r="AU33" i="20"/>
  <c r="AQ34" i="20"/>
  <c r="AV33" i="20"/>
  <c r="AR34" i="20"/>
  <c r="AW33" i="20"/>
  <c r="AT33" i="20"/>
  <c r="AY32" i="20"/>
  <c r="AR35" i="20" l="1"/>
  <c r="AW34" i="20"/>
  <c r="AQ35" i="20"/>
  <c r="AV34" i="20"/>
  <c r="AP35" i="20"/>
  <c r="AU34" i="20"/>
  <c r="AY33" i="20"/>
  <c r="AT34" i="20"/>
  <c r="AS34" i="20"/>
  <c r="AX33" i="20"/>
  <c r="AS35" i="20" l="1"/>
  <c r="AX34" i="20"/>
  <c r="AW35" i="20"/>
  <c r="AR36" i="20"/>
  <c r="AY34" i="20"/>
  <c r="AT35" i="20"/>
  <c r="AU35" i="20"/>
  <c r="AP36" i="20"/>
  <c r="AQ36" i="20"/>
  <c r="AV35" i="20"/>
  <c r="AU36" i="20" l="1"/>
  <c r="AP37" i="20"/>
  <c r="AT36" i="20"/>
  <c r="AY35" i="20"/>
  <c r="AW36" i="20"/>
  <c r="AR37" i="20"/>
  <c r="AV36" i="20"/>
  <c r="AQ37" i="20"/>
  <c r="AX35" i="20"/>
  <c r="AS36" i="20"/>
  <c r="AQ38" i="20" l="1"/>
  <c r="AV37" i="20"/>
  <c r="AR38" i="20"/>
  <c r="AW37" i="20"/>
  <c r="AT37" i="20"/>
  <c r="AY36" i="20"/>
  <c r="AS37" i="20"/>
  <c r="AX36" i="20"/>
  <c r="AP38" i="20"/>
  <c r="AU37" i="20"/>
  <c r="AP39" i="20" l="1"/>
  <c r="AU38" i="20"/>
  <c r="AX37" i="20"/>
  <c r="AS38" i="20"/>
  <c r="AY37" i="20"/>
  <c r="AT38" i="20"/>
  <c r="AR39" i="20"/>
  <c r="AW38" i="20"/>
  <c r="AQ39" i="20"/>
  <c r="AV38" i="20"/>
  <c r="AW39" i="20" l="1"/>
  <c r="AR40" i="20"/>
  <c r="AY38" i="20"/>
  <c r="AT39" i="20"/>
  <c r="AS39" i="20"/>
  <c r="AX38" i="20"/>
  <c r="AQ40" i="20"/>
  <c r="AV39" i="20"/>
  <c r="AP40" i="20"/>
  <c r="AU39" i="20"/>
  <c r="AV40" i="20" l="1"/>
  <c r="AQ41" i="20"/>
  <c r="AX39" i="20"/>
  <c r="AS40" i="20"/>
  <c r="AT40" i="20"/>
  <c r="AY39" i="20"/>
  <c r="AW40" i="20"/>
  <c r="AR41" i="20"/>
  <c r="AU40" i="20"/>
  <c r="AP41" i="20"/>
  <c r="AR42" i="20" l="1"/>
  <c r="AW41" i="20"/>
  <c r="AT41" i="20"/>
  <c r="AY40" i="20"/>
  <c r="AS41" i="20"/>
  <c r="AX40" i="20"/>
  <c r="AU41" i="20"/>
  <c r="AP42" i="20"/>
  <c r="AQ42" i="20"/>
  <c r="AV41" i="20"/>
  <c r="AX41" i="20" l="1"/>
  <c r="AS42" i="20"/>
  <c r="AY41" i="20"/>
  <c r="AT42" i="20"/>
  <c r="AP43" i="20"/>
  <c r="AU42" i="20"/>
  <c r="AQ43" i="20"/>
  <c r="AV42" i="20"/>
  <c r="AR43" i="20"/>
  <c r="AW42" i="20"/>
  <c r="AY42" i="20" l="1"/>
  <c r="AT43" i="20"/>
  <c r="AQ44" i="20"/>
  <c r="AV43" i="20"/>
  <c r="AP44" i="20"/>
  <c r="AU43" i="20"/>
  <c r="AS43" i="20"/>
  <c r="AX42" i="20"/>
  <c r="AW43" i="20"/>
  <c r="AR44" i="20"/>
  <c r="AX43" i="20" l="1"/>
  <c r="AS44" i="20"/>
  <c r="AU44" i="20"/>
  <c r="AP45" i="20"/>
  <c r="AV44" i="20"/>
  <c r="AQ45" i="20"/>
  <c r="AR45" i="20"/>
  <c r="AW44" i="20"/>
  <c r="AT44" i="20"/>
  <c r="AY43" i="20"/>
  <c r="AR46" i="20" l="1"/>
  <c r="AW45" i="20"/>
  <c r="AQ46" i="20"/>
  <c r="AV45" i="20"/>
  <c r="AU45" i="20"/>
  <c r="AP46" i="20"/>
  <c r="AS45" i="20"/>
  <c r="AX44" i="20"/>
  <c r="AT45" i="20"/>
  <c r="AY44" i="20"/>
  <c r="AX45" i="20" l="1"/>
  <c r="AS46" i="20"/>
  <c r="AQ47" i="20"/>
  <c r="AV46" i="20"/>
  <c r="AP47" i="20"/>
  <c r="AU46" i="20"/>
  <c r="AT46" i="20"/>
  <c r="AY45" i="20"/>
  <c r="AW46" i="20"/>
  <c r="AR47" i="20"/>
  <c r="AY46" i="20" l="1"/>
  <c r="AT47" i="20"/>
  <c r="AU47" i="20"/>
  <c r="AP48" i="20"/>
  <c r="AQ48" i="20"/>
  <c r="AV47" i="20"/>
  <c r="AW47" i="20"/>
  <c r="AR48" i="20"/>
  <c r="AS47" i="20"/>
  <c r="AX46" i="20"/>
  <c r="AR49" i="20" l="1"/>
  <c r="AW48" i="20"/>
  <c r="AU48" i="20"/>
  <c r="AP49" i="20"/>
  <c r="AY47" i="20"/>
  <c r="AT48" i="20"/>
  <c r="AV48" i="20"/>
  <c r="AQ49" i="20"/>
  <c r="AX47" i="20"/>
  <c r="AS48" i="20"/>
  <c r="AS49" i="20" l="1"/>
  <c r="AX48" i="20"/>
  <c r="AR50" i="20"/>
  <c r="AW49" i="20"/>
  <c r="AQ50" i="20"/>
  <c r="AV49" i="20"/>
  <c r="AT49" i="20"/>
  <c r="AY48" i="20"/>
  <c r="AU49" i="20"/>
  <c r="AP50" i="20"/>
  <c r="AT50" i="20" l="1"/>
  <c r="AY49" i="20"/>
  <c r="AV50" i="20"/>
  <c r="AQ51" i="20"/>
  <c r="AR51" i="20"/>
  <c r="AW50" i="20"/>
  <c r="AP51" i="20"/>
  <c r="AU50" i="20"/>
  <c r="AX49" i="20"/>
  <c r="AS50" i="20"/>
  <c r="AP52" i="20" l="1"/>
  <c r="AU51" i="20"/>
  <c r="AW51" i="20"/>
  <c r="AR52" i="20"/>
  <c r="AQ52" i="20"/>
  <c r="AV51" i="20"/>
  <c r="AS51" i="20"/>
  <c r="AX50" i="20"/>
  <c r="AY50" i="20"/>
  <c r="AT51" i="20"/>
  <c r="AX51" i="20" l="1"/>
  <c r="AS52" i="20"/>
  <c r="AU52" i="20"/>
  <c r="AP53" i="20"/>
  <c r="AV52" i="20"/>
  <c r="AQ53" i="20"/>
  <c r="AW52" i="20"/>
  <c r="AR53" i="20"/>
  <c r="AT52" i="20"/>
  <c r="AY51" i="20"/>
  <c r="AT53" i="20" l="1"/>
  <c r="AY52" i="20"/>
  <c r="AR54" i="20"/>
  <c r="AW53" i="20"/>
  <c r="AQ54" i="20"/>
  <c r="AV53" i="20"/>
  <c r="AP54" i="20"/>
  <c r="AU53" i="20"/>
  <c r="AS53" i="20"/>
  <c r="AX52" i="20"/>
  <c r="AX53" i="20" l="1"/>
  <c r="AS54" i="20"/>
  <c r="AT54" i="20"/>
  <c r="AY53" i="20"/>
  <c r="AP55" i="20"/>
  <c r="AU54" i="20"/>
  <c r="AV54" i="20"/>
  <c r="AQ55" i="20"/>
  <c r="AR55" i="20"/>
  <c r="AW54" i="20"/>
  <c r="AQ56" i="20" l="1"/>
  <c r="AV55" i="20"/>
  <c r="AP56" i="20"/>
  <c r="AU55" i="20"/>
  <c r="AY54" i="20"/>
  <c r="AT55" i="20"/>
  <c r="AS55" i="20"/>
  <c r="AX54" i="20"/>
  <c r="AW55" i="20"/>
  <c r="AR56" i="20"/>
  <c r="AX55" i="20" l="1"/>
  <c r="AS56" i="20"/>
  <c r="AY55" i="20"/>
  <c r="AT56" i="20"/>
  <c r="AU56" i="20"/>
  <c r="AP57" i="20"/>
  <c r="AR57" i="20"/>
  <c r="AW56" i="20"/>
  <c r="AV56" i="20"/>
  <c r="AQ57" i="20"/>
  <c r="AR58" i="20" l="1"/>
  <c r="AW57" i="20"/>
  <c r="AU57" i="20"/>
  <c r="AP58" i="20"/>
  <c r="AT57" i="20"/>
  <c r="AY56" i="20"/>
  <c r="AQ58" i="20"/>
  <c r="AV57" i="20"/>
  <c r="AS57" i="20"/>
  <c r="AX56" i="20"/>
  <c r="AV58" i="20" l="1"/>
  <c r="AQ59" i="20"/>
  <c r="AP59" i="20"/>
  <c r="AU58" i="20"/>
  <c r="AT58" i="20"/>
  <c r="AY57" i="20"/>
  <c r="AX57" i="20"/>
  <c r="AS58" i="20"/>
  <c r="AW58" i="20"/>
  <c r="AR59" i="20"/>
  <c r="AU59" i="20" l="1"/>
  <c r="AP60" i="20"/>
  <c r="AS59" i="20"/>
  <c r="AX58" i="20"/>
  <c r="AY58" i="20"/>
  <c r="AT59" i="20"/>
  <c r="AW59" i="20"/>
  <c r="AR60" i="20"/>
  <c r="AQ60" i="20"/>
  <c r="AV59" i="20"/>
  <c r="AV60" i="20" l="1"/>
  <c r="AQ61" i="20"/>
  <c r="AR61" i="20"/>
  <c r="AW60" i="20"/>
  <c r="AT60" i="20"/>
  <c r="AY59" i="20"/>
  <c r="AX59" i="20"/>
  <c r="AS60" i="20"/>
  <c r="AU60" i="20"/>
  <c r="AP61" i="20"/>
  <c r="AS61" i="20" l="1"/>
  <c r="AX60" i="20"/>
  <c r="AT61" i="20"/>
  <c r="AY60" i="20"/>
  <c r="AR62" i="20"/>
  <c r="AW61" i="20"/>
  <c r="AU61" i="20"/>
  <c r="AP62" i="20"/>
  <c r="AQ62" i="20"/>
  <c r="AV61" i="20"/>
  <c r="AV62" i="20" l="1"/>
  <c r="AQ63" i="20"/>
  <c r="AX61" i="20"/>
  <c r="AS62" i="20"/>
  <c r="AP63" i="20"/>
  <c r="AU62" i="20"/>
  <c r="AW62" i="20"/>
  <c r="AR63" i="20"/>
  <c r="AY61" i="20"/>
  <c r="AT62" i="20"/>
  <c r="AU63" i="20" l="1"/>
  <c r="AP64" i="20"/>
  <c r="AS63" i="20"/>
  <c r="AX62" i="20"/>
  <c r="AY62" i="20"/>
  <c r="AT63" i="20"/>
  <c r="AQ64" i="20"/>
  <c r="AV63" i="20"/>
  <c r="AW63" i="20"/>
  <c r="AR64" i="20"/>
  <c r="AV64" i="20" l="1"/>
  <c r="AQ65" i="20"/>
  <c r="AY63" i="20"/>
  <c r="AT64" i="20"/>
  <c r="AX63" i="20"/>
  <c r="AS64" i="20"/>
  <c r="AW64" i="20"/>
  <c r="AR65" i="20"/>
  <c r="AU64" i="20"/>
  <c r="AP65" i="20"/>
  <c r="AT65" i="20" l="1"/>
  <c r="AY64" i="20"/>
  <c r="AP66" i="20"/>
  <c r="AU65" i="20"/>
  <c r="AQ66" i="20"/>
  <c r="AV65" i="20"/>
  <c r="AR66" i="20"/>
  <c r="AW65" i="20"/>
  <c r="AS65" i="20"/>
  <c r="AX64" i="20"/>
  <c r="AV66" i="20" l="1"/>
  <c r="AQ67" i="20"/>
  <c r="AW66" i="20"/>
  <c r="AR67" i="20"/>
  <c r="AP67" i="20"/>
  <c r="AU66" i="20"/>
  <c r="AX65" i="20"/>
  <c r="AS66" i="20"/>
  <c r="AY65" i="20"/>
  <c r="AT66" i="20"/>
  <c r="AW67" i="20" l="1"/>
  <c r="AR68" i="20"/>
  <c r="AS67" i="20"/>
  <c r="AX66" i="20"/>
  <c r="AU67" i="20"/>
  <c r="AP68" i="20"/>
  <c r="AY66" i="20"/>
  <c r="AT67" i="20"/>
  <c r="AQ68" i="20"/>
  <c r="AV67" i="20"/>
  <c r="AX67" i="20" l="1"/>
  <c r="AS68" i="20"/>
  <c r="AV68" i="20"/>
  <c r="AQ69" i="20"/>
  <c r="AY67" i="20"/>
  <c r="AT68" i="20"/>
  <c r="AU68" i="20"/>
  <c r="AP69" i="20"/>
  <c r="AR69" i="20"/>
  <c r="AW68" i="20"/>
  <c r="AP70" i="20" l="1"/>
  <c r="AU69" i="20"/>
  <c r="AT69" i="20"/>
  <c r="AY68" i="20"/>
  <c r="AQ70" i="20"/>
  <c r="AV69" i="20"/>
  <c r="AS69" i="20"/>
  <c r="AX68" i="20"/>
  <c r="AR70" i="20"/>
  <c r="AW69" i="20"/>
  <c r="AX69" i="20" l="1"/>
  <c r="AS70" i="20"/>
  <c r="AV70" i="20"/>
  <c r="AQ71" i="20"/>
  <c r="AY69" i="20"/>
  <c r="AT70" i="20"/>
  <c r="AW70" i="20"/>
  <c r="AR71" i="20"/>
  <c r="AP71" i="20"/>
  <c r="AU70" i="20"/>
  <c r="AW71" i="20" l="1"/>
  <c r="AR72" i="20"/>
  <c r="AS71" i="20"/>
  <c r="AX70" i="20"/>
  <c r="AY70" i="20"/>
  <c r="AT71" i="20"/>
  <c r="AQ72" i="20"/>
  <c r="AV71" i="20"/>
  <c r="AU71" i="20"/>
  <c r="AP72" i="20"/>
  <c r="AX71" i="20" l="1"/>
  <c r="AS72" i="20"/>
  <c r="AV72" i="20"/>
  <c r="AQ73" i="20"/>
  <c r="AU72" i="20"/>
  <c r="AP73" i="20"/>
  <c r="AR73" i="20"/>
  <c r="AW72" i="20"/>
  <c r="AT72" i="20"/>
  <c r="AY71" i="20"/>
  <c r="AR74" i="20" l="1"/>
  <c r="AW73" i="20"/>
  <c r="AP74" i="20"/>
  <c r="AU73" i="20"/>
  <c r="AQ74" i="20"/>
  <c r="AV73" i="20"/>
  <c r="AS73" i="20"/>
  <c r="AX72" i="20"/>
  <c r="AT73" i="20"/>
  <c r="AY72" i="20"/>
  <c r="AX73" i="20" l="1"/>
  <c r="AS74" i="20"/>
  <c r="AV74" i="20"/>
  <c r="AQ75" i="20"/>
  <c r="AP75" i="20"/>
  <c r="AU74" i="20"/>
  <c r="AY73" i="20"/>
  <c r="AT74" i="20"/>
  <c r="AW74" i="20"/>
  <c r="AR75" i="20"/>
  <c r="AY74" i="20" l="1"/>
  <c r="AT75" i="20"/>
  <c r="AU75" i="20"/>
  <c r="AP76" i="20"/>
  <c r="AQ76" i="20"/>
  <c r="AV75" i="20"/>
  <c r="AW75" i="20"/>
  <c r="AR76" i="20"/>
  <c r="AS75" i="20"/>
  <c r="AX74" i="20"/>
  <c r="AW76" i="20" l="1"/>
  <c r="AR77" i="20"/>
  <c r="AV76" i="20"/>
  <c r="AQ77" i="20"/>
  <c r="AT76" i="20"/>
  <c r="AY75" i="20"/>
  <c r="AU76" i="20"/>
  <c r="AP77" i="20"/>
  <c r="AX75" i="20"/>
  <c r="AS76" i="20"/>
  <c r="AP78" i="20" l="1"/>
  <c r="AU77" i="20"/>
  <c r="AT77" i="20"/>
  <c r="AY76" i="20"/>
  <c r="AQ78" i="20"/>
  <c r="AV77" i="20"/>
  <c r="AS77" i="20"/>
  <c r="AX76" i="20"/>
  <c r="AR78" i="20"/>
  <c r="AW77" i="20"/>
  <c r="AV78" i="20" l="1"/>
  <c r="AQ79" i="20"/>
  <c r="AY77" i="20"/>
  <c r="AT78" i="20"/>
  <c r="AX77" i="20"/>
  <c r="AS78" i="20"/>
  <c r="AW78" i="20"/>
  <c r="AR79" i="20"/>
  <c r="AP79" i="20"/>
  <c r="AU78" i="20"/>
  <c r="AW79" i="20" l="1"/>
  <c r="AR80" i="20"/>
  <c r="AS79" i="20"/>
  <c r="AX78" i="20"/>
  <c r="AY78" i="20"/>
  <c r="AT79" i="20"/>
  <c r="AQ80" i="20"/>
  <c r="AV79" i="20"/>
  <c r="AU79" i="20"/>
  <c r="AP80" i="20"/>
  <c r="AV80" i="20" l="1"/>
  <c r="AQ81" i="20"/>
  <c r="AT80" i="20"/>
  <c r="AY79" i="20"/>
  <c r="AX79" i="20"/>
  <c r="AS80" i="20"/>
  <c r="AU80" i="20"/>
  <c r="AP81" i="20"/>
  <c r="AW80" i="20"/>
  <c r="AR81" i="20"/>
  <c r="AP82" i="20" l="1"/>
  <c r="AU81" i="20"/>
  <c r="AS81" i="20"/>
  <c r="AX80" i="20"/>
  <c r="AT81" i="20"/>
  <c r="AY80" i="20"/>
  <c r="AR82" i="20"/>
  <c r="AW81" i="20"/>
  <c r="AQ82" i="20"/>
  <c r="AV81" i="20"/>
  <c r="AW82" i="20" l="1"/>
  <c r="AR83" i="20"/>
  <c r="AX81" i="20"/>
  <c r="AS82" i="20"/>
  <c r="AY81" i="20"/>
  <c r="AT82" i="20"/>
  <c r="AV82" i="20"/>
  <c r="AQ83" i="20"/>
  <c r="AP83" i="20"/>
  <c r="AU82" i="20"/>
  <c r="AY82" i="20" l="1"/>
  <c r="AT83" i="20"/>
  <c r="AQ84" i="20"/>
  <c r="AV83" i="20"/>
  <c r="AS83" i="20"/>
  <c r="AX82" i="20"/>
  <c r="AW83" i="20"/>
  <c r="AR84" i="20"/>
  <c r="AU83" i="20"/>
  <c r="AP84" i="20"/>
  <c r="AR85" i="20" l="1"/>
  <c r="AW84" i="20"/>
  <c r="AX83" i="20"/>
  <c r="AS84" i="20"/>
  <c r="AV84" i="20"/>
  <c r="AQ85" i="20"/>
  <c r="AU84" i="20"/>
  <c r="AP85" i="20"/>
  <c r="AT84" i="20"/>
  <c r="AY83" i="20"/>
  <c r="AP86" i="20" l="1"/>
  <c r="AU85" i="20"/>
  <c r="AQ86" i="20"/>
  <c r="AV85" i="20"/>
  <c r="AS85" i="20"/>
  <c r="AX84" i="20"/>
  <c r="AT85" i="20"/>
  <c r="AY84" i="20"/>
  <c r="AR86" i="20"/>
  <c r="AW85" i="20"/>
  <c r="AY85" i="20" l="1"/>
  <c r="AT86" i="20"/>
  <c r="AX85" i="20"/>
  <c r="AS86" i="20"/>
  <c r="AV86" i="20"/>
  <c r="AQ87" i="20"/>
  <c r="AW86" i="20"/>
  <c r="AR87" i="20"/>
  <c r="AP87" i="20"/>
  <c r="AU86" i="20"/>
  <c r="AW87" i="20" l="1"/>
  <c r="AR88" i="20"/>
  <c r="AQ88" i="20"/>
  <c r="AV87" i="20"/>
  <c r="AS87" i="20"/>
  <c r="AX86" i="20"/>
  <c r="AY86" i="20"/>
  <c r="AT87" i="20"/>
  <c r="AU87" i="20"/>
  <c r="AP88" i="20"/>
  <c r="AT88" i="20" l="1"/>
  <c r="AY87" i="20"/>
  <c r="AX87" i="20"/>
  <c r="AS88" i="20"/>
  <c r="AV88" i="20"/>
  <c r="AQ89" i="20"/>
  <c r="AU88" i="20"/>
  <c r="AP89" i="20"/>
  <c r="AR89" i="20"/>
  <c r="AW88" i="20"/>
  <c r="AU89" i="20" l="1"/>
  <c r="AP90" i="20"/>
  <c r="AQ90" i="20"/>
  <c r="AV89" i="20"/>
  <c r="AS89" i="20"/>
  <c r="AX88" i="20"/>
  <c r="AR90" i="20"/>
  <c r="AW89" i="20"/>
  <c r="AT89" i="20"/>
  <c r="AY88" i="20"/>
  <c r="AW90" i="20" l="1"/>
  <c r="AR91" i="20"/>
  <c r="AX89" i="20"/>
  <c r="AS90" i="20"/>
  <c r="AV90" i="20"/>
  <c r="AQ91" i="20"/>
  <c r="AP91" i="20"/>
  <c r="AU90" i="20"/>
  <c r="AY89" i="20"/>
  <c r="AT90" i="20"/>
  <c r="AS91" i="20" l="1"/>
  <c r="AX90" i="20"/>
  <c r="AY90" i="20"/>
  <c r="AT91" i="20"/>
  <c r="AW91" i="20"/>
  <c r="AR92" i="20"/>
  <c r="AU91" i="20"/>
  <c r="AP92" i="20"/>
  <c r="AQ92" i="20"/>
  <c r="AV91" i="20"/>
  <c r="AU92" i="20" l="1"/>
  <c r="AP93" i="20"/>
  <c r="AR93" i="20"/>
  <c r="AW92" i="20"/>
  <c r="AT92" i="20"/>
  <c r="AY91" i="20"/>
  <c r="AV92" i="20"/>
  <c r="AQ93" i="20"/>
  <c r="AX91" i="20"/>
  <c r="AS92" i="20"/>
  <c r="AQ94" i="20" l="1"/>
  <c r="AV93" i="20"/>
  <c r="AT93" i="20"/>
  <c r="AY92" i="20"/>
  <c r="AR94" i="20"/>
  <c r="AW93" i="20"/>
  <c r="AS93" i="20"/>
  <c r="AX92" i="20"/>
  <c r="AU93" i="20"/>
  <c r="AP94" i="20"/>
  <c r="AX93" i="20" l="1"/>
  <c r="AS94" i="20"/>
  <c r="AY93" i="20"/>
  <c r="AT94" i="20"/>
  <c r="AW94" i="20"/>
  <c r="AR95" i="20"/>
  <c r="AW95" i="20" s="1"/>
  <c r="AP95" i="20"/>
  <c r="AU95" i="20" s="1"/>
  <c r="AU94" i="20"/>
  <c r="AV94" i="20"/>
  <c r="AQ95" i="20"/>
  <c r="AV95" i="20" s="1"/>
  <c r="AS95" i="20" l="1"/>
  <c r="AX95" i="20" s="1"/>
  <c r="AX94" i="20"/>
  <c r="AY94" i="20"/>
  <c r="AT95" i="20"/>
  <c r="AY95" i="20" s="1"/>
  <c r="I2" i="20" l="1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D82" i="27"/>
  <c r="E82" i="27" s="1"/>
  <c r="AB8" i="14" l="1"/>
  <c r="F82" i="27"/>
  <c r="F86" i="27" s="1"/>
  <c r="E86" i="27" s="1"/>
  <c r="G82" i="27" l="1"/>
  <c r="E100" i="27" s="1"/>
  <c r="AI97" i="20"/>
  <c r="I82" i="27" l="1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S96" i="20"/>
  <c r="R96" i="20"/>
  <c r="Q96" i="20"/>
  <c r="P96" i="20"/>
  <c r="O96" i="20"/>
  <c r="X95" i="20"/>
  <c r="W95" i="20"/>
  <c r="S95" i="20"/>
  <c r="R95" i="20"/>
  <c r="Q95" i="20"/>
  <c r="P95" i="20"/>
  <c r="U95" i="20" s="1"/>
  <c r="O95" i="20"/>
  <c r="T95" i="20" s="1"/>
  <c r="B95" i="20"/>
  <c r="A3" i="20"/>
  <c r="A4" i="20" s="1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5" i="13"/>
  <c r="Z25" i="14"/>
  <c r="M4" i="9"/>
  <c r="M7" i="9"/>
  <c r="F6" i="6"/>
  <c r="G8" i="6"/>
  <c r="M5" i="9"/>
  <c r="G6" i="6"/>
  <c r="G4" i="6"/>
  <c r="F4" i="6"/>
  <c r="F5" i="6"/>
  <c r="M8" i="9"/>
  <c r="M6" i="9"/>
  <c r="G7" i="6"/>
  <c r="F7" i="6"/>
  <c r="G5" i="6"/>
  <c r="AA25" i="14" l="1"/>
  <c r="AO2" i="20"/>
  <c r="V95" i="20"/>
  <c r="AM2" i="20"/>
  <c r="A5" i="20"/>
  <c r="B4" i="20"/>
  <c r="B3" i="20"/>
  <c r="AL2" i="20"/>
  <c r="AZ3" i="20"/>
  <c r="L96" i="13"/>
  <c r="L97" i="13"/>
  <c r="L101" i="13" s="1"/>
  <c r="L103" i="13" s="1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R96" i="13"/>
  <c r="AK2" i="20" l="1"/>
  <c r="AN2" i="20"/>
  <c r="A6" i="20"/>
  <c r="B5" i="20"/>
  <c r="BD3" i="20"/>
  <c r="BB3" i="20"/>
  <c r="BC3" i="20"/>
  <c r="V96" i="13"/>
  <c r="B6" i="25" s="1"/>
  <c r="C6" i="25" s="1"/>
  <c r="Q96" i="13"/>
  <c r="V99" i="13"/>
  <c r="N5" i="6"/>
  <c r="O5" i="6" s="1"/>
  <c r="K5" i="6"/>
  <c r="K7" i="6"/>
  <c r="N7" i="6"/>
  <c r="O7" i="6" s="1"/>
  <c r="N6" i="6"/>
  <c r="O6" i="6" s="1"/>
  <c r="K6" i="6"/>
  <c r="K4" i="6"/>
  <c r="N4" i="6"/>
  <c r="O4" i="6" s="1"/>
  <c r="W99" i="13"/>
  <c r="W96" i="13"/>
  <c r="B7" i="25" s="1"/>
  <c r="C7" i="25" s="1"/>
  <c r="AZ2" i="20" l="1"/>
  <c r="BC2" i="20" s="1"/>
  <c r="AZ4" i="20"/>
  <c r="BB4" i="20" s="1"/>
  <c r="AZ5" i="20"/>
  <c r="BB5" i="20" s="1"/>
  <c r="AR96" i="13"/>
  <c r="D7" i="25" s="1"/>
  <c r="F7" i="25" s="1"/>
  <c r="P97" i="13"/>
  <c r="P96" i="13"/>
  <c r="P98" i="13" s="1"/>
  <c r="A7" i="20"/>
  <c r="B6" i="20"/>
  <c r="AQ96" i="13"/>
  <c r="D6" i="25" s="1"/>
  <c r="F6" i="25" s="1"/>
  <c r="BB2" i="20" l="1"/>
  <c r="BD2" i="20"/>
  <c r="AC8" i="14"/>
  <c r="AZ6" i="20"/>
  <c r="E7" i="25"/>
  <c r="AP96" i="13"/>
  <c r="D5" i="25" s="1"/>
  <c r="E5" i="25" s="1"/>
  <c r="U99" i="13"/>
  <c r="O96" i="13"/>
  <c r="O98" i="13" s="1"/>
  <c r="U96" i="13"/>
  <c r="B5" i="25" s="1"/>
  <c r="C5" i="25" s="1"/>
  <c r="A8" i="20"/>
  <c r="B7" i="20"/>
  <c r="E6" i="25"/>
  <c r="BB6" i="20" l="1"/>
  <c r="AZ7" i="20"/>
  <c r="BB7" i="20" s="1"/>
  <c r="T96" i="13"/>
  <c r="B4" i="25" s="1"/>
  <c r="C4" i="25" s="1"/>
  <c r="AO96" i="13"/>
  <c r="D4" i="25" s="1"/>
  <c r="F4" i="25" s="1"/>
  <c r="T99" i="13"/>
  <c r="T102" i="13" s="1"/>
  <c r="F5" i="25"/>
  <c r="B8" i="20"/>
  <c r="A9" i="20"/>
  <c r="AZ8" i="20" l="1"/>
  <c r="BB8" i="20" s="1"/>
  <c r="E4" i="25"/>
  <c r="A10" i="20"/>
  <c r="B9" i="20"/>
  <c r="N96" i="13"/>
  <c r="N98" i="13" s="1"/>
  <c r="AZ9" i="20" l="1"/>
  <c r="AS97" i="13"/>
  <c r="A11" i="20"/>
  <c r="B10" i="20"/>
  <c r="BB9" i="20" l="1"/>
  <c r="AZ10" i="20"/>
  <c r="BB10" i="20" s="1"/>
  <c r="S96" i="13"/>
  <c r="B3" i="25" s="1"/>
  <c r="C3" i="25" s="1"/>
  <c r="S99" i="13"/>
  <c r="B11" i="20"/>
  <c r="A12" i="20"/>
  <c r="AS95" i="13"/>
  <c r="AN96" i="13"/>
  <c r="D3" i="25" s="1"/>
  <c r="AZ11" i="20" l="1"/>
  <c r="BB11" i="20" s="1"/>
  <c r="A13" i="20"/>
  <c r="B12" i="20"/>
  <c r="B8" i="25"/>
  <c r="E3" i="25"/>
  <c r="F3" i="25"/>
  <c r="F8" i="25" s="1"/>
  <c r="AZ12" i="20" l="1"/>
  <c r="B13" i="20"/>
  <c r="A14" i="20"/>
  <c r="B21" i="25"/>
  <c r="B20" i="25"/>
  <c r="AZ13" i="20" l="1"/>
  <c r="BB13" i="20" s="1"/>
  <c r="BB12" i="20"/>
  <c r="A15" i="20"/>
  <c r="B14" i="20"/>
  <c r="AZ14" i="20" l="1"/>
  <c r="BB14" i="20" s="1"/>
  <c r="A16" i="20"/>
  <c r="B15" i="20"/>
  <c r="AZ15" i="20" l="1"/>
  <c r="BB15" i="20" s="1"/>
  <c r="B16" i="20"/>
  <c r="A17" i="20"/>
  <c r="AZ16" i="20" l="1"/>
  <c r="BB16" i="20" s="1"/>
  <c r="B17" i="20"/>
  <c r="A18" i="20"/>
  <c r="AZ17" i="20" l="1"/>
  <c r="BB17" i="20" s="1"/>
  <c r="A19" i="20"/>
  <c r="B18" i="20"/>
  <c r="AZ18" i="20" l="1"/>
  <c r="BB18" i="20" s="1"/>
  <c r="B19" i="20"/>
  <c r="A20" i="20"/>
  <c r="AZ19" i="20" l="1"/>
  <c r="BB19" i="20" s="1"/>
  <c r="A21" i="20"/>
  <c r="B20" i="20"/>
  <c r="AZ20" i="20" l="1"/>
  <c r="BB20" i="20" s="1"/>
  <c r="A22" i="20"/>
  <c r="B21" i="20"/>
  <c r="AZ21" i="20" l="1"/>
  <c r="BB21" i="20" s="1"/>
  <c r="B22" i="20"/>
  <c r="A23" i="20"/>
  <c r="AZ22" i="20" l="1"/>
  <c r="BB22" i="20" s="1"/>
  <c r="B23" i="20"/>
  <c r="A24" i="20"/>
  <c r="AZ23" i="20" l="1"/>
  <c r="BB23" i="20" s="1"/>
  <c r="A25" i="20"/>
  <c r="B24" i="20"/>
  <c r="AZ24" i="20" l="1"/>
  <c r="BB24" i="20" s="1"/>
  <c r="A26" i="20"/>
  <c r="B25" i="20"/>
  <c r="AZ25" i="20" l="1"/>
  <c r="BB25" i="20" s="1"/>
  <c r="B26" i="20"/>
  <c r="A27" i="20"/>
  <c r="AZ26" i="20" l="1"/>
  <c r="BB26" i="20" s="1"/>
  <c r="A28" i="20"/>
  <c r="B27" i="20"/>
  <c r="AZ27" i="20" l="1"/>
  <c r="BB27" i="20" s="1"/>
  <c r="A29" i="20"/>
  <c r="B28" i="20"/>
  <c r="AZ28" i="20" l="1"/>
  <c r="BB28" i="20" s="1"/>
  <c r="B29" i="20"/>
  <c r="A30" i="20"/>
  <c r="AZ29" i="20" l="1"/>
  <c r="BB29" i="20" s="1"/>
  <c r="A31" i="20"/>
  <c r="B30" i="20"/>
  <c r="AZ30" i="20" l="1"/>
  <c r="BB30" i="20" s="1"/>
  <c r="B31" i="20"/>
  <c r="A32" i="20"/>
  <c r="AZ31" i="20" l="1"/>
  <c r="BB31" i="20" s="1"/>
  <c r="B32" i="20"/>
  <c r="A33" i="20"/>
  <c r="AZ32" i="20" l="1"/>
  <c r="BB32" i="20" s="1"/>
  <c r="A34" i="20"/>
  <c r="B33" i="20"/>
  <c r="AZ33" i="20" l="1"/>
  <c r="BB33" i="20" s="1"/>
  <c r="B34" i="20"/>
  <c r="A35" i="20"/>
  <c r="AZ34" i="20" l="1"/>
  <c r="BB34" i="20" s="1"/>
  <c r="B35" i="20"/>
  <c r="A36" i="20"/>
  <c r="AZ35" i="20" l="1"/>
  <c r="BB35" i="20" s="1"/>
  <c r="A37" i="20"/>
  <c r="B36" i="20"/>
  <c r="AZ36" i="20" l="1"/>
  <c r="BB36" i="20" s="1"/>
  <c r="A38" i="20"/>
  <c r="B37" i="20"/>
  <c r="AZ37" i="20" l="1"/>
  <c r="BB37" i="20" s="1"/>
  <c r="A39" i="20"/>
  <c r="B38" i="20"/>
  <c r="AZ38" i="20" l="1"/>
  <c r="BB38" i="20" s="1"/>
  <c r="B39" i="20"/>
  <c r="A40" i="20"/>
  <c r="AZ39" i="20" l="1"/>
  <c r="BB39" i="20" s="1"/>
  <c r="A41" i="20"/>
  <c r="B40" i="20"/>
  <c r="AZ40" i="20" l="1"/>
  <c r="BB40" i="20" s="1"/>
  <c r="A42" i="20"/>
  <c r="B41" i="20"/>
  <c r="AZ41" i="20" l="1"/>
  <c r="BB41" i="20" s="1"/>
  <c r="B42" i="20"/>
  <c r="A43" i="20"/>
  <c r="AZ42" i="20" l="1"/>
  <c r="BB42" i="20" s="1"/>
  <c r="B43" i="20"/>
  <c r="A44" i="20"/>
  <c r="AZ43" i="20" l="1"/>
  <c r="BB43" i="20" s="1"/>
  <c r="A45" i="20"/>
  <c r="B44" i="20"/>
  <c r="AZ44" i="20" l="1"/>
  <c r="BB44" i="20" s="1"/>
  <c r="A46" i="20"/>
  <c r="B45" i="20"/>
  <c r="AZ45" i="20" l="1"/>
  <c r="BB45" i="20" s="1"/>
  <c r="A47" i="20"/>
  <c r="B46" i="20"/>
  <c r="AZ46" i="20" l="1"/>
  <c r="BB46" i="20" s="1"/>
  <c r="B47" i="20"/>
  <c r="A48" i="20"/>
  <c r="AZ47" i="20" l="1"/>
  <c r="BB47" i="20" s="1"/>
  <c r="A49" i="20"/>
  <c r="B48" i="20"/>
  <c r="AZ48" i="20" l="1"/>
  <c r="BB48" i="20" s="1"/>
  <c r="A50" i="20"/>
  <c r="B49" i="20"/>
  <c r="AZ49" i="20" l="1"/>
  <c r="BB49" i="20" s="1"/>
  <c r="B50" i="20"/>
  <c r="A51" i="20"/>
  <c r="AZ50" i="20" l="1"/>
  <c r="BB50" i="20" s="1"/>
  <c r="B51" i="20"/>
  <c r="A52" i="20"/>
  <c r="AZ51" i="20" l="1"/>
  <c r="BB51" i="20" s="1"/>
  <c r="A53" i="20"/>
  <c r="B52" i="20"/>
  <c r="AZ52" i="20" l="1"/>
  <c r="BB52" i="20" s="1"/>
  <c r="A54" i="20"/>
  <c r="B53" i="20"/>
  <c r="AZ53" i="20" l="1"/>
  <c r="BB53" i="20" s="1"/>
  <c r="A55" i="20"/>
  <c r="B54" i="20"/>
  <c r="AZ54" i="20" l="1"/>
  <c r="BB54" i="20" s="1"/>
  <c r="B55" i="20"/>
  <c r="A56" i="20"/>
  <c r="AZ55" i="20" l="1"/>
  <c r="BB55" i="20" s="1"/>
  <c r="A57" i="20"/>
  <c r="B56" i="20"/>
  <c r="AZ56" i="20" l="1"/>
  <c r="BB56" i="20" s="1"/>
  <c r="A58" i="20"/>
  <c r="B57" i="20"/>
  <c r="AZ57" i="20" l="1"/>
  <c r="BB57" i="20" s="1"/>
  <c r="B58" i="20"/>
  <c r="A59" i="20"/>
  <c r="AZ58" i="20" l="1"/>
  <c r="BB58" i="20" s="1"/>
  <c r="A60" i="20"/>
  <c r="B59" i="20"/>
  <c r="AZ59" i="20" l="1"/>
  <c r="BB59" i="20" s="1"/>
  <c r="A61" i="20"/>
  <c r="B60" i="20"/>
  <c r="AZ60" i="20" l="1"/>
  <c r="BB60" i="20" s="1"/>
  <c r="A62" i="20"/>
  <c r="B61" i="20"/>
  <c r="AZ61" i="20" l="1"/>
  <c r="BB61" i="20" s="1"/>
  <c r="A63" i="20"/>
  <c r="B62" i="20"/>
  <c r="AZ62" i="20" l="1"/>
  <c r="BB62" i="20" s="1"/>
  <c r="B63" i="20"/>
  <c r="A64" i="20"/>
  <c r="AZ63" i="20" l="1"/>
  <c r="BB63" i="20" s="1"/>
  <c r="A65" i="20"/>
  <c r="B64" i="20"/>
  <c r="AZ64" i="20" l="1"/>
  <c r="BB64" i="20" s="1"/>
  <c r="A66" i="20"/>
  <c r="B65" i="20"/>
  <c r="AZ65" i="20" l="1"/>
  <c r="BB65" i="20" s="1"/>
  <c r="B66" i="20"/>
  <c r="A67" i="20"/>
  <c r="AZ66" i="20" l="1"/>
  <c r="BB66" i="20" s="1"/>
  <c r="A68" i="20"/>
  <c r="B67" i="20"/>
  <c r="AZ67" i="20" l="1"/>
  <c r="BB67" i="20" s="1"/>
  <c r="A69" i="20"/>
  <c r="B68" i="20"/>
  <c r="AZ68" i="20" l="1"/>
  <c r="BB68" i="20" s="1"/>
  <c r="A70" i="20"/>
  <c r="B69" i="20"/>
  <c r="AZ69" i="20" l="1"/>
  <c r="BB69" i="20" s="1"/>
  <c r="A71" i="20"/>
  <c r="B70" i="20"/>
  <c r="AZ70" i="20" l="1"/>
  <c r="BB70" i="20" s="1"/>
  <c r="B71" i="20"/>
  <c r="A72" i="20"/>
  <c r="AZ71" i="20" l="1"/>
  <c r="BB71" i="20" s="1"/>
  <c r="A73" i="20"/>
  <c r="B72" i="20"/>
  <c r="AZ72" i="20" l="1"/>
  <c r="BB72" i="20" s="1"/>
  <c r="A74" i="20"/>
  <c r="B73" i="20"/>
  <c r="AZ73" i="20" l="1"/>
  <c r="BB73" i="20" s="1"/>
  <c r="B74" i="20"/>
  <c r="A75" i="20"/>
  <c r="AZ74" i="20" l="1"/>
  <c r="BB74" i="20" s="1"/>
  <c r="A76" i="20"/>
  <c r="B75" i="20"/>
  <c r="AZ75" i="20" l="1"/>
  <c r="BB75" i="20" s="1"/>
  <c r="A77" i="20"/>
  <c r="B76" i="20"/>
  <c r="AZ76" i="20" l="1"/>
  <c r="BB76" i="20" s="1"/>
  <c r="A78" i="20"/>
  <c r="B77" i="20"/>
  <c r="AZ77" i="20" l="1"/>
  <c r="BB77" i="20" s="1"/>
  <c r="A79" i="20"/>
  <c r="B78" i="20"/>
  <c r="AZ78" i="20" l="1"/>
  <c r="BB78" i="20" s="1"/>
  <c r="B79" i="20"/>
  <c r="A80" i="20"/>
  <c r="AZ79" i="20" l="1"/>
  <c r="BB79" i="20" s="1"/>
  <c r="A81" i="20"/>
  <c r="B80" i="20"/>
  <c r="AZ80" i="20" l="1"/>
  <c r="BB80" i="20" s="1"/>
  <c r="A82" i="20"/>
  <c r="B81" i="20"/>
  <c r="AZ81" i="20" l="1"/>
  <c r="BB81" i="20" s="1"/>
  <c r="B82" i="20"/>
  <c r="A83" i="20"/>
  <c r="AZ82" i="20" l="1"/>
  <c r="BB82" i="20" s="1"/>
  <c r="A84" i="20"/>
  <c r="B83" i="20"/>
  <c r="AZ83" i="20" l="1"/>
  <c r="BB83" i="20" s="1"/>
  <c r="A85" i="20"/>
  <c r="B84" i="20"/>
  <c r="AZ84" i="20" l="1"/>
  <c r="BB84" i="20" s="1"/>
  <c r="A86" i="20"/>
  <c r="B85" i="20"/>
  <c r="AZ85" i="20" l="1"/>
  <c r="BB85" i="20" s="1"/>
  <c r="A87" i="20"/>
  <c r="B86" i="20"/>
  <c r="AZ86" i="20" l="1"/>
  <c r="BB86" i="20" s="1"/>
  <c r="B87" i="20"/>
  <c r="A88" i="20"/>
  <c r="AZ87" i="20" l="1"/>
  <c r="BB87" i="20" s="1"/>
  <c r="A89" i="20"/>
  <c r="B88" i="20"/>
  <c r="AZ88" i="20" l="1"/>
  <c r="BB88" i="20" s="1"/>
  <c r="A90" i="20"/>
  <c r="B89" i="20"/>
  <c r="AZ89" i="20" l="1"/>
  <c r="BB89" i="20" s="1"/>
  <c r="B90" i="20"/>
  <c r="A91" i="20"/>
  <c r="AZ90" i="20" l="1"/>
  <c r="BB90" i="20" s="1"/>
  <c r="A92" i="20"/>
  <c r="B91" i="20"/>
  <c r="AZ91" i="20" l="1"/>
  <c r="BB91" i="20" s="1"/>
  <c r="A93" i="20"/>
  <c r="B92" i="20"/>
  <c r="AZ92" i="20" l="1"/>
  <c r="BB92" i="20" s="1"/>
  <c r="A94" i="20"/>
  <c r="B94" i="20" s="1"/>
  <c r="B93" i="20"/>
  <c r="AZ93" i="20" l="1"/>
  <c r="BB93" i="20" s="1"/>
  <c r="AZ95" i="20" l="1"/>
  <c r="BB95" i="20" s="1"/>
  <c r="AZ94" i="20"/>
  <c r="BB94" i="20" l="1"/>
  <c r="AZ9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tc={E3ECBE2B-3C19-4DA0-8A01-7BF17F212C91}</author>
    <author>tc={315556E5-2D34-480E-BF02-3830F3F49D91}</author>
  </authors>
  <commentList>
    <comment ref="X9" authorId="0" shapeId="0" xr:uid="{E3ECBE2B-3C19-4DA0-8A01-7BF17F212C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315556E5-2D34-480E-BF02-3830F3F49D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Y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<sst xmlns="http://schemas.openxmlformats.org/spreadsheetml/2006/main" count="834" uniqueCount="369">
  <si>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</si>
  <si>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</si>
  <si>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</si>
  <si>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</si>
  <si>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</si>
  <si>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</si>
  <si>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</si>
  <si>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</si>
  <si>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</si>
  <si>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</si>
  <si>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</si>
  <si>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</si>
  <si>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</si>
  <si>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</si>
  <si>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</si>
  <si>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</si>
  <si>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</si>
  <si>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</si>
  <si>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</si>
  <si>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</si>
  <si>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</si>
  <si>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</si>
  <si>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</si>
  <si>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</si>
  <si>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</si>
  <si>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</si>
  <si>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</si>
  <si>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</si>
  <si>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</si>
  <si>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</si>
  <si>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</si>
  <si>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</si>
  <si>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</si>
  <si>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</si>
  <si>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</si>
  <si>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</si>
  <si>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</si>
  <si>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</si>
  <si>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</si>
  <si>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</si>
  <si>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</si>
  <si>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</si>
  <si>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</si>
  <si>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</si>
  <si>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</si>
  <si>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</si>
  <si>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</si>
  <si>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</si>
  <si>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</si>
  <si>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</si>
  <si>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</si>
  <si>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</si>
  <si>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</si>
  <si>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</si>
  <si>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</si>
  <si>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</si>
  <si>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</si>
  <si>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</si>
  <si>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</si>
  <si>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</si>
  <si>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</si>
  <si>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</si>
  <si>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</si>
  <si>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</si>
  <si>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</si>
  <si>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</si>
  <si>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</si>
  <si>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</si>
  <si>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</si>
  <si>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</si>
  <si>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</si>
  <si>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</si>
  <si>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</si>
  <si>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</si>
  <si>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</si>
  <si>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</si>
  <si>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</si>
  <si>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</si>
  <si>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</si>
  <si>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</si>
  <si>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</si>
  <si>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</si>
  <si>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</si>
  <si>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</si>
  <si>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</si>
  <si>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</si>
  <si>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</si>
  <si>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</si>
  <si>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</si>
  <si>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</si>
  <si>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</si>
  <si>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</si>
  <si>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</si>
  <si>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</si>
  <si>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</si>
  <si>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</si>
  <si>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</si>
  <si>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</si>
  <si>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</si>
  <si>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</si>
  <si>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</si>
  <si>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</si>
  <si>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</si>
  <si>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</si>
  <si>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</si>
  <si>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</si>
  <si>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</si>
  <si>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</si>
  <si>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</si>
  <si>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</si>
  <si>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</si>
  <si>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</si>
  <si>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</si>
  <si>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RECHAZO (m3)</t>
  </si>
  <si>
    <t>$m3 PERMEADO RO (m3)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</si>
  <si>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</si>
  <si>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</si>
  <si>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</si>
  <si>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</si>
  <si>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</si>
  <si>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</si>
  <si>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$m3</t>
  </si>
  <si>
    <t># TURNO</t>
  </si>
  <si>
    <t>GEM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</si>
  <si>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</si>
  <si>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</si>
  <si>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</si>
  <si>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</si>
  <si>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</si>
  <si>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</si>
  <si>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</si>
  <si>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         Vitec 7000</t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</si>
  <si>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</si>
  <si>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</si>
  <si>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</si>
  <si>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</si>
  <si>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</si>
  <si>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</si>
  <si>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</si>
  <si>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</si>
  <si>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</si>
  <si>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</si>
  <si>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</si>
  <si>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</si>
  <si>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</si>
  <si>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</si>
  <si>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</si>
  <si>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</si>
  <si>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</si>
  <si>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</si>
  <si>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</si>
  <si>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</si>
  <si>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</si>
  <si>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</si>
  <si>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</si>
  <si>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</si>
  <si>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</si>
  <si>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</si>
  <si>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</si>
  <si>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</si>
  <si>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</si>
  <si>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</si>
  <si>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</si>
  <si>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</si>
  <si>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</si>
  <si>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</si>
  <si>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</si>
  <si>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</si>
  <si>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</si>
  <si>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</si>
  <si>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</si>
  <si>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</si>
  <si>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</si>
  <si>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</si>
  <si>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</si>
  <si>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</si>
  <si>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</si>
  <si>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</si>
  <si>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</si>
  <si>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</si>
  <si>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</si>
  <si>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</si>
  <si>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</si>
  <si>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</si>
  <si>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</si>
  <si>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</si>
  <si>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</si>
  <si>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</si>
  <si>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</si>
  <si>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</si>
  <si>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>FINAL ACIDO (L)</t>
  </si>
  <si>
    <t>FINAL COAGULANTE (L)</t>
  </si>
  <si>
    <t>FINAL DECOLORANTE (L)</t>
  </si>
  <si>
    <t>FINAL POL ANIONICO (KG)</t>
  </si>
  <si>
    <t>FINAL POL CATIONICO (KG)</t>
  </si>
  <si>
    <t>1.500</t>
  </si>
  <si>
    <t>420</t>
  </si>
  <si>
    <t>140</t>
  </si>
  <si>
    <t>155</t>
  </si>
  <si>
    <t>3/01/2025 - 4/01/2025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</si>
  <si>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</si>
  <si>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</si>
  <si>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</si>
  <si>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</si>
  <si>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</si>
  <si>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</si>
  <si>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</si>
  <si>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</si>
  <si>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</si>
  <si>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</si>
  <si>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</si>
  <si>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</si>
  <si>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</si>
  <si>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</si>
  <si>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</si>
  <si>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</si>
  <si>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</si>
  <si>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</si>
  <si>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</si>
  <si>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</si>
  <si>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</si>
  <si>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</si>
  <si>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</si>
  <si>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</si>
  <si>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2.160</t>
  </si>
  <si>
    <t>2.100</t>
  </si>
  <si>
    <t>1.670</t>
  </si>
  <si>
    <t>205</t>
  </si>
  <si>
    <t>105</t>
  </si>
  <si>
    <t xml:space="preserve">CAUDAL TOTAL TRATADO GEM  </t>
  </si>
  <si>
    <t xml:space="preserve">INDICADOR $m3 </t>
  </si>
  <si>
    <t xml:space="preserve">COF 440 - PPM POL ANIONICO  </t>
  </si>
  <si>
    <t xml:space="preserve">COF 280 - PPM ACIDO </t>
  </si>
  <si>
    <t xml:space="preserve">COF 255 - PPM DECOLORANTE </t>
  </si>
  <si>
    <t xml:space="preserve"> INDICADOR $m3 </t>
  </si>
  <si>
    <t xml:space="preserve">CONSUMO LITROS ACIDO (L) </t>
  </si>
  <si>
    <t xml:space="preserve">CONSUMO LITROS COAGULANTE (L) </t>
  </si>
  <si>
    <t xml:space="preserve">CONSUMO LITROS DECOLORANTE (L) </t>
  </si>
  <si>
    <t xml:space="preserve">CONSUMO POL ANIONICO (KG) </t>
  </si>
  <si>
    <t xml:space="preserve">CONSUMO POL CATIONICO (KG) </t>
  </si>
  <si>
    <t xml:space="preserve">KG POL ANIONICO  </t>
  </si>
  <si>
    <t xml:space="preserve">KG POL CATIONICO  </t>
  </si>
  <si>
    <t xml:space="preserve">KG ACIDO </t>
  </si>
  <si>
    <t xml:space="preserve">KG COAGULANTE </t>
  </si>
  <si>
    <t xml:space="preserve">KG DECOLORANTE  </t>
  </si>
  <si>
    <t>1. COSTO Vs CONSUMO DE PRODUCTOS QUIMICOS</t>
  </si>
  <si>
    <t>CALIDAD DE AGUA Vs COSTOS</t>
  </si>
  <si>
    <t>MINIMO</t>
  </si>
  <si>
    <t>MAXIMO</t>
  </si>
  <si>
    <t>PROMEDIO</t>
  </si>
  <si>
    <t>PPM</t>
  </si>
  <si>
    <t>COF 255 - DECOLORANTE</t>
  </si>
  <si>
    <t>COF 235 - COAGULANTE</t>
  </si>
  <si>
    <t>COF 280 - ACIDIFICANTE</t>
  </si>
  <si>
    <t>COF 440 - POLIMERO ANIONICO</t>
  </si>
  <si>
    <t>COF 494 - POLIMERO CATIONICO</t>
  </si>
  <si>
    <t>CALIDAD DE AGUA</t>
  </si>
  <si>
    <t>$ REMOCIÓN DQO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</si>
  <si>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</si>
  <si>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</si>
  <si>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</si>
  <si>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</si>
  <si>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</si>
  <si>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</si>
  <si>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</si>
  <si>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</si>
  <si>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</si>
  <si>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</si>
  <si>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</si>
  <si>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</si>
  <si>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</si>
  <si>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</si>
  <si>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</si>
  <si>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</si>
  <si>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</si>
  <si>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</si>
  <si>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</si>
  <si>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</si>
  <si>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</si>
  <si>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</si>
  <si>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</si>
  <si>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</si>
  <si>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</si>
  <si>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</si>
  <si>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</si>
  <si>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</si>
  <si>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</si>
  <si>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</si>
  <si>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</si>
  <si>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</si>
  <si>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</si>
  <si>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</si>
  <si>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</si>
  <si>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</si>
  <si>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</si>
  <si>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</si>
  <si>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</si>
  <si>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</si>
  <si>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</si>
  <si>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</si>
  <si>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</si>
  <si>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</si>
  <si>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</si>
  <si>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</si>
  <si>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</si>
  <si>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</si>
  <si>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</si>
  <si>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</si>
  <si>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</si>
  <si>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</si>
  <si>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</si>
  <si>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</si>
  <si>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</si>
  <si>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</si>
  <si>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</si>
  <si>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</si>
  <si>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</si>
  <si>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</si>
  <si>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$ CONSOLIDADO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</si>
  <si>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</si>
  <si>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</si>
  <si>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</si>
  <si>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</si>
  <si>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</si>
  <si>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</si>
  <si>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</si>
  <si>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</si>
  <si>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</si>
  <si>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PANORAMA OPERATIVO</t>
  </si>
  <si>
    <t>VOLUMEN TRATADO GEM  (m3)</t>
  </si>
  <si>
    <t xml:space="preserve">HORAS </t>
  </si>
  <si>
    <t>VOLUMEN TRATADO GEM (m3)</t>
  </si>
  <si>
    <t>PANORAMA OPERATIVO GEM</t>
  </si>
  <si>
    <t>PANORAMA OPERATIVO RO</t>
  </si>
  <si>
    <t xml:space="preserve">VOLUMEN ENVIADO A RO (m3) </t>
  </si>
  <si>
    <t>TIEMPO DE OPERACIÓN</t>
  </si>
  <si>
    <t>Etiquetas de fila</t>
  </si>
  <si>
    <t>Q DE OPERACIÓN (m3/h)</t>
  </si>
  <si>
    <t>$ HORA DE TRATAMIENTO RO</t>
  </si>
  <si>
    <t>$ HORA DE TRATAMIENTO GEM</t>
  </si>
  <si>
    <t xml:space="preserve">COSTO QUIMICA  </t>
  </si>
  <si>
    <t>COSTO QUIMICA  GEM</t>
  </si>
  <si>
    <t>KPIs</t>
  </si>
  <si>
    <t>PERCENTIL 90</t>
  </si>
  <si>
    <t xml:space="preserve">CARGA REMOVIDA KG/DIA DQO </t>
  </si>
  <si>
    <t>CARGA REMOVIDA KG/DIA SST</t>
  </si>
  <si>
    <t>ENTRADA GEM</t>
  </si>
  <si>
    <t>SALIDA GEM</t>
  </si>
  <si>
    <t>INDICE DE ESTABILIDAD DEL AFLUENTE - EFLUENTE (CV%)</t>
  </si>
  <si>
    <t>COLOR</t>
  </si>
  <si>
    <t>DQO</t>
  </si>
  <si>
    <t>SST</t>
  </si>
  <si>
    <t>REMOCIÓN SST mg/L</t>
  </si>
  <si>
    <t>KG REMOVIDOS SST / M3</t>
  </si>
  <si>
    <t>TOTAL KG SST REMOVIDOS</t>
  </si>
  <si>
    <t>$ REMOVER KG SST</t>
  </si>
  <si>
    <t>TOTAL CONSUMIDO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</si>
  <si>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</si>
  <si>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</si>
  <si>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</si>
  <si>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</si>
  <si>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</si>
  <si>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$</t>
  </si>
  <si>
    <t>HORAS DE OPERACIÓN</t>
  </si>
  <si>
    <t xml:space="preserve">HORAS DE OPERACIÓN </t>
  </si>
  <si>
    <t xml:space="preserve">  2025 $m3 GEM </t>
  </si>
  <si>
    <t>(Varios elementos)</t>
  </si>
  <si>
    <t>L/DIA</t>
  </si>
  <si>
    <t>KG/DIA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</si>
</sst>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1" fillId="0" borderId="0"/>
    <xf numFmtId="0" fontId="2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90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0" fontId="12" fillId="21" borderId="91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44" fontId="0" fillId="0" borderId="5" xfId="2" applyFont="1" applyBorder="1"/>
    <xf numFmtId="44" fontId="0" fillId="0" borderId="0" xfId="2" applyFont="1" applyBorder="1"/>
    <xf numFmtId="44" fontId="0" fillId="0" borderId="64" xfId="2" applyFont="1" applyBorder="1"/>
    <xf numFmtId="44" fontId="0" fillId="0" borderId="16" xfId="2" applyFont="1" applyBorder="1"/>
    <xf numFmtId="0" fontId="0" fillId="0" borderId="0" xfId="2" applyNumberFormat="1" applyFont="1" applyBorder="1"/>
    <xf numFmtId="0" fontId="0" fillId="0" borderId="64" xfId="2" applyNumberFormat="1" applyFont="1" applyBorder="1"/>
    <xf numFmtId="42" fontId="0" fillId="0" borderId="8" xfId="2" applyNumberFormat="1" applyFont="1" applyBorder="1"/>
    <xf numFmtId="42" fontId="0" fillId="0" borderId="0" xfId="2" applyNumberFormat="1" applyFont="1" applyBorder="1"/>
    <xf numFmtId="42" fontId="0" fillId="0" borderId="64" xfId="2" applyNumberFormat="1" applyFont="1" applyBorder="1"/>
    <xf numFmtId="42" fontId="0" fillId="0" borderId="9" xfId="2" applyNumberFormat="1" applyFont="1" applyBorder="1"/>
    <xf numFmtId="42" fontId="0" fillId="0" borderId="5" xfId="2" applyNumberFormat="1" applyFont="1" applyBorder="1"/>
    <xf numFmtId="42" fontId="0" fillId="0" borderId="16" xfId="2" applyNumberFormat="1" applyFont="1" applyBorder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3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3" xfId="0" applyNumberFormat="1" applyFont="1" applyFill="1" applyBorder="1"/>
    <xf numFmtId="3" fontId="19" fillId="8" borderId="10" xfId="0" applyNumberFormat="1" applyFont="1" applyFill="1" applyBorder="1" applyAlignment="1">
      <alignment horizontal="center"/>
    </xf>
    <xf numFmtId="165" fontId="19" fillId="8" borderId="10" xfId="0" applyNumberFormat="1" applyFont="1" applyFill="1" applyBorder="1" applyAlignment="1">
      <alignment horizontal="right"/>
    </xf>
    <xf numFmtId="14" fontId="0" fillId="0" borderId="62" xfId="0" applyNumberFormat="1" applyBorder="1" applyAlignment="1">
      <alignment horizontal="left"/>
    </xf>
    <xf numFmtId="0" fontId="0" fillId="18" borderId="29" xfId="0" applyFill="1" applyBorder="1"/>
    <xf numFmtId="0" fontId="0" fillId="0" borderId="29" xfId="0" applyBorder="1"/>
    <xf numFmtId="0" fontId="0" fillId="0" borderId="62" xfId="0" applyBorder="1"/>
    <xf numFmtId="0" fontId="0" fillId="0" borderId="51" xfId="0" applyBorder="1"/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14" fontId="0" fillId="0" borderId="26" xfId="0" applyNumberFormat="1" applyBorder="1" applyAlignment="1">
      <alignment horizontal="left"/>
    </xf>
    <xf numFmtId="0" fontId="0" fillId="21" borderId="27" xfId="0" applyFill="1" applyBorder="1"/>
    <xf numFmtId="0" fontId="0" fillId="0" borderId="27" xfId="0" applyBorder="1"/>
    <xf numFmtId="0" fontId="0" fillId="0" borderId="26" xfId="0" applyBorder="1"/>
    <xf numFmtId="0" fontId="0" fillId="0" borderId="10" xfId="0" applyBorder="1"/>
    <xf numFmtId="14" fontId="0" fillId="0" borderId="54" xfId="0" applyNumberFormat="1" applyBorder="1" applyAlignment="1">
      <alignment horizontal="left"/>
    </xf>
    <xf numFmtId="0" fontId="0" fillId="7" borderId="28" xfId="0" applyFill="1" applyBorder="1"/>
    <xf numFmtId="0" fontId="0" fillId="0" borderId="28" xfId="0" applyBorder="1"/>
    <xf numFmtId="0" fontId="0" fillId="0" borderId="54" xfId="0" applyBorder="1"/>
    <xf numFmtId="0" fontId="0" fillId="0" borderId="15" xfId="0" applyBorder="1"/>
    <xf numFmtId="0" fontId="0" fillId="0" borderId="21" xfId="0" applyBorder="1"/>
    <xf numFmtId="0" fontId="0" fillId="0" borderId="35" xfId="0" applyBorder="1"/>
    <xf numFmtId="14" fontId="0" fillId="0" borderId="22" xfId="0" applyNumberFormat="1" applyBorder="1" applyAlignment="1">
      <alignment horizontal="left"/>
    </xf>
    <xf numFmtId="0" fontId="0" fillId="0" borderId="49" xfId="0" applyBorder="1"/>
    <xf numFmtId="0" fontId="0" fillId="0" borderId="75" xfId="0" applyBorder="1"/>
    <xf numFmtId="0" fontId="0" fillId="0" borderId="12" xfId="0" applyBorder="1"/>
    <xf numFmtId="14" fontId="0" fillId="0" borderId="23" xfId="0" applyNumberFormat="1" applyBorder="1" applyAlignment="1">
      <alignment horizontal="left"/>
    </xf>
    <xf numFmtId="14" fontId="0" fillId="0" borderId="24" xfId="0" applyNumberFormat="1" applyBorder="1" applyAlignment="1">
      <alignment horizontal="left"/>
    </xf>
    <xf numFmtId="0" fontId="0" fillId="0" borderId="9" xfId="0" applyBorder="1"/>
    <xf numFmtId="0" fontId="0" fillId="0" borderId="59" xfId="0" applyBorder="1"/>
    <xf numFmtId="0" fontId="0" fillId="0" borderId="77" xfId="0" applyBorder="1"/>
    <xf numFmtId="0" fontId="0" fillId="18" borderId="49" xfId="0" applyFill="1" applyBorder="1"/>
    <xf numFmtId="49" fontId="18" fillId="25" borderId="60" xfId="0" applyNumberFormat="1" applyFont="1" applyFill="1" applyBorder="1" applyAlignment="1">
      <alignment horizontal="center" vertical="center" wrapText="1"/>
    </xf>
    <xf numFmtId="49" fontId="18" fillId="25" borderId="77" xfId="0" applyNumberFormat="1" applyFont="1" applyFill="1" applyBorder="1" applyAlignment="1">
      <alignment horizontal="center" vertical="center" wrapText="1"/>
    </xf>
    <xf numFmtId="49" fontId="18" fillId="25" borderId="25" xfId="0" applyNumberFormat="1" applyFont="1" applyFill="1" applyBorder="1" applyAlignment="1">
      <alignment horizontal="center" vertical="center" wrapText="1"/>
    </xf>
    <xf numFmtId="0" fontId="18" fillId="4" borderId="83" xfId="0" applyFont="1" applyFill="1" applyBorder="1" applyAlignment="1">
      <alignment horizontal="center" vertical="center" wrapText="1"/>
    </xf>
    <xf numFmtId="0" fontId="18" fillId="4" borderId="90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 wrapText="1"/>
    </xf>
    <xf numFmtId="0" fontId="18" fillId="23" borderId="59" xfId="0" applyFont="1" applyFill="1" applyBorder="1" applyAlignment="1">
      <alignment horizontal="center" vertical="center" wrapText="1"/>
    </xf>
    <xf numFmtId="0" fontId="18" fillId="23" borderId="77" xfId="0" applyFont="1" applyFill="1" applyBorder="1" applyAlignment="1">
      <alignment horizontal="center" vertical="center" wrapText="1"/>
    </xf>
    <xf numFmtId="0" fontId="18" fillId="24" borderId="84" xfId="0" applyFont="1" applyFill="1" applyBorder="1" applyAlignment="1">
      <alignment horizontal="center" vertical="center" wrapText="1"/>
    </xf>
    <xf numFmtId="0" fontId="18" fillId="24" borderId="85" xfId="0" applyFont="1" applyFill="1" applyBorder="1" applyAlignment="1">
      <alignment horizontal="center" vertical="center" wrapText="1"/>
    </xf>
    <xf numFmtId="0" fontId="18" fillId="20" borderId="87" xfId="0" applyFont="1" applyFill="1" applyBorder="1" applyAlignment="1">
      <alignment horizontal="center" vertical="center" wrapText="1"/>
    </xf>
    <xf numFmtId="0" fontId="18" fillId="20" borderId="77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center" vertical="center" wrapText="1"/>
    </xf>
    <xf numFmtId="0" fontId="18" fillId="21" borderId="5" xfId="0" applyFont="1" applyFill="1" applyBorder="1" applyAlignment="1">
      <alignment horizontal="center" vertical="center" wrapText="1"/>
    </xf>
    <xf numFmtId="0" fontId="18" fillId="21" borderId="59" xfId="0" applyFont="1" applyFill="1" applyBorder="1" applyAlignment="1">
      <alignment horizontal="center" vertical="center" wrapText="1"/>
    </xf>
    <xf numFmtId="0" fontId="18" fillId="21" borderId="77" xfId="0" applyFont="1" applyFill="1" applyBorder="1" applyAlignment="1">
      <alignment horizontal="center" vertical="center" wrapText="1"/>
    </xf>
    <xf numFmtId="0" fontId="18" fillId="21" borderId="2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59" xfId="0" applyFont="1" applyFill="1" applyBorder="1" applyAlignment="1">
      <alignment horizontal="center" vertical="center" wrapText="1"/>
    </xf>
    <xf numFmtId="0" fontId="18" fillId="5" borderId="77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21" borderId="9" xfId="0" applyFont="1" applyFill="1" applyBorder="1" applyAlignment="1">
      <alignment horizontal="center" vertical="center" wrapText="1"/>
    </xf>
    <xf numFmtId="0" fontId="18" fillId="0" borderId="0" xfId="0" applyFont="1"/>
    <xf numFmtId="1" fontId="0" fillId="0" borderId="63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0" fontId="0" fillId="21" borderId="5" xfId="0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21" borderId="1" xfId="0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" fontId="0" fillId="0" borderId="34" xfId="0" applyNumberFormat="1" applyBorder="1" applyAlignment="1">
      <alignment horizontal="left"/>
    </xf>
    <xf numFmtId="1" fontId="0" fillId="0" borderId="31" xfId="0" applyNumberFormat="1" applyBorder="1" applyAlignment="1">
      <alignment horizontal="left"/>
    </xf>
    <xf numFmtId="1" fontId="0" fillId="0" borderId="35" xfId="0" applyNumberFormat="1" applyBorder="1" applyAlignment="1">
      <alignment horizontal="left"/>
    </xf>
    <xf numFmtId="1" fontId="0" fillId="0" borderId="27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1" fontId="0" fillId="0" borderId="49" xfId="0" applyNumberFormat="1" applyBorder="1" applyAlignment="1">
      <alignment horizontal="left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18" fillId="24" borderId="74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90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89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14" fontId="0" fillId="0" borderId="94" xfId="0" applyNumberFormat="1" applyBorder="1" applyAlignment="1">
      <alignment horizontal="left"/>
    </xf>
    <xf numFmtId="1" fontId="0" fillId="0" borderId="86" xfId="0" applyNumberFormat="1" applyBorder="1" applyAlignment="1">
      <alignment horizontal="left"/>
    </xf>
    <xf numFmtId="0" fontId="0" fillId="0" borderId="86" xfId="0" applyBorder="1"/>
    <xf numFmtId="0" fontId="0" fillId="0" borderId="95" xfId="0" applyBorder="1"/>
    <xf numFmtId="1" fontId="0" fillId="0" borderId="94" xfId="0" applyNumberFormat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19" fillId="8" borderId="10" xfId="0" applyNumberFormat="1" applyFont="1" applyFill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71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42" fontId="0" fillId="0" borderId="0" xfId="2" applyNumberFormat="1" applyFont="1"/>
    <xf numFmtId="2" fontId="0" fillId="0" borderId="69" xfId="0" applyNumberFormat="1" applyBorder="1" applyAlignment="1">
      <alignment horizontal="center"/>
    </xf>
    <xf numFmtId="49" fontId="12" fillId="7" borderId="61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0" fontId="18" fillId="28" borderId="83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/>
    </xf>
    <xf numFmtId="0" fontId="13" fillId="4" borderId="48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1" xfId="0" applyNumberFormat="1" applyFill="1" applyBorder="1"/>
    <xf numFmtId="0" fontId="0" fillId="0" borderId="11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89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left"/>
    </xf>
    <xf numFmtId="3" fontId="0" fillId="6" borderId="27" xfId="0" applyNumberFormat="1" applyFill="1" applyBorder="1"/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/>
    <xf numFmtId="3" fontId="0" fillId="6" borderId="28" xfId="0" applyNumberFormat="1" applyFill="1" applyBorder="1" applyAlignment="1">
      <alignment horizontal="center"/>
    </xf>
    <xf numFmtId="3" fontId="0" fillId="6" borderId="29" xfId="0" applyNumberFormat="1" applyFill="1" applyBorder="1"/>
    <xf numFmtId="3" fontId="0" fillId="6" borderId="29" xfId="0" applyNumberFormat="1" applyFill="1" applyBorder="1" applyAlignment="1">
      <alignment horizontal="center"/>
    </xf>
    <xf numFmtId="1" fontId="0" fillId="28" borderId="29" xfId="0" applyNumberFormat="1" applyFill="1" applyBorder="1" applyAlignment="1">
      <alignment horizontal="left"/>
    </xf>
    <xf numFmtId="3" fontId="0" fillId="28" borderId="29" xfId="0" applyNumberFormat="1" applyFill="1" applyBorder="1"/>
    <xf numFmtId="3" fontId="0" fillId="28" borderId="29" xfId="0" applyNumberFormat="1" applyFill="1" applyBorder="1" applyAlignment="1">
      <alignment horizontal="center"/>
    </xf>
    <xf numFmtId="0" fontId="0" fillId="28" borderId="0" xfId="0" applyFill="1"/>
    <xf numFmtId="3" fontId="0" fillId="28" borderId="27" xfId="0" applyNumberFormat="1" applyFill="1" applyBorder="1"/>
    <xf numFmtId="3" fontId="0" fillId="28" borderId="27" xfId="0" applyNumberFormat="1" applyFill="1" applyBorder="1" applyAlignment="1">
      <alignment horizontal="center"/>
    </xf>
    <xf numFmtId="3" fontId="0" fillId="28" borderId="28" xfId="0" applyNumberFormat="1" applyFill="1" applyBorder="1"/>
    <xf numFmtId="3" fontId="0" fillId="28" borderId="28" xfId="0" applyNumberFormat="1" applyFill="1" applyBorder="1" applyAlignment="1">
      <alignment horizontal="center"/>
    </xf>
    <xf numFmtId="1" fontId="0" fillId="30" borderId="29" xfId="0" applyNumberFormat="1" applyFill="1" applyBorder="1" applyAlignment="1">
      <alignment horizontal="left"/>
    </xf>
    <xf numFmtId="3" fontId="0" fillId="30" borderId="29" xfId="0" applyNumberFormat="1" applyFill="1" applyBorder="1"/>
    <xf numFmtId="3" fontId="0" fillId="30" borderId="29" xfId="0" applyNumberFormat="1" applyFill="1" applyBorder="1" applyAlignment="1">
      <alignment horizontal="center"/>
    </xf>
    <xf numFmtId="0" fontId="0" fillId="30" borderId="0" xfId="0" applyFill="1"/>
    <xf numFmtId="3" fontId="0" fillId="30" borderId="27" xfId="0" applyNumberFormat="1" applyFill="1" applyBorder="1"/>
    <xf numFmtId="3" fontId="0" fillId="30" borderId="27" xfId="0" applyNumberFormat="1" applyFill="1" applyBorder="1" applyAlignment="1">
      <alignment horizontal="center"/>
    </xf>
    <xf numFmtId="3" fontId="0" fillId="30" borderId="28" xfId="0" applyNumberFormat="1" applyFill="1" applyBorder="1"/>
    <xf numFmtId="3" fontId="0" fillId="30" borderId="28" xfId="0" applyNumberFormat="1" applyFill="1" applyBorder="1" applyAlignment="1">
      <alignment horizontal="center"/>
    </xf>
    <xf numFmtId="0" fontId="0" fillId="0" borderId="96" xfId="0" applyBorder="1"/>
    <xf numFmtId="0" fontId="0" fillId="0" borderId="0" xfId="0" pivotButton="1"/>
    <xf numFmtId="167" fontId="0" fillId="0" borderId="9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9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170" fontId="0" fillId="21" borderId="0" xfId="7" applyNumberFormat="1" applyFont="1" applyFill="1"/>
    <xf numFmtId="0" fontId="16" fillId="8" borderId="10" xfId="0" applyFont="1" applyFill="1" applyBorder="1" applyAlignment="1">
      <alignment horizontal="center" vertical="center" wrapText="1"/>
    </xf>
    <xf numFmtId="167" fontId="23" fillId="0" borderId="10" xfId="2" applyNumberFormat="1" applyFont="1" applyBorder="1"/>
    <xf numFmtId="0" fontId="0" fillId="20" borderId="0" xfId="0" applyFill="1"/>
    <xf numFmtId="2" fontId="0" fillId="0" borderId="0" xfId="0" applyNumberFormat="1"/>
    <xf numFmtId="0" fontId="0" fillId="31" borderId="10" xfId="0" applyFill="1" applyBorder="1" applyAlignment="1">
      <alignment horizontal="center" wrapText="1"/>
    </xf>
    <xf numFmtId="0" fontId="0" fillId="19" borderId="0" xfId="0" applyFill="1"/>
    <xf numFmtId="1" fontId="23" fillId="8" borderId="1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1" fillId="8" borderId="65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24" fillId="21" borderId="101" xfId="0" applyFont="1" applyFill="1" applyBorder="1" applyAlignment="1">
      <alignment horizontal="center" vertical="center" wrapText="1"/>
    </xf>
    <xf numFmtId="0" fontId="24" fillId="21" borderId="100" xfId="0" applyFont="1" applyFill="1" applyBorder="1" applyAlignment="1">
      <alignment horizontal="center" vertical="center" wrapText="1"/>
    </xf>
    <xf numFmtId="165" fontId="0" fillId="34" borderId="100" xfId="0" applyNumberFormat="1" applyFill="1" applyBorder="1"/>
    <xf numFmtId="170" fontId="0" fillId="21" borderId="0" xfId="0" applyNumberFormat="1" applyFill="1"/>
    <xf numFmtId="49" fontId="12" fillId="25" borderId="92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49" fontId="12" fillId="21" borderId="92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10" fontId="0" fillId="0" borderId="19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8" borderId="10" xfId="0" applyFill="1" applyBorder="1"/>
    <xf numFmtId="3" fontId="0" fillId="8" borderId="10" xfId="0" applyNumberFormat="1" applyFill="1" applyBorder="1"/>
    <xf numFmtId="170" fontId="0" fillId="0" borderId="0" xfId="0" applyNumberFormat="1"/>
    <xf numFmtId="167" fontId="0" fillId="8" borderId="10" xfId="2" applyNumberFormat="1" applyFont="1" applyFill="1" applyBorder="1"/>
    <xf numFmtId="164" fontId="0" fillId="8" borderId="10" xfId="0" applyNumberFormat="1" applyFill="1" applyBorder="1"/>
    <xf numFmtId="170" fontId="0" fillId="8" borderId="10" xfId="7" applyNumberFormat="1" applyFont="1" applyFill="1" applyBorder="1"/>
    <xf numFmtId="0" fontId="1" fillId="8" borderId="0" xfId="0" applyFont="1" applyFill="1" applyAlignment="1">
      <alignment horizontal="center"/>
    </xf>
    <xf numFmtId="44" fontId="0" fillId="8" borderId="10" xfId="2" applyFont="1" applyFill="1" applyBorder="1"/>
    <xf numFmtId="164" fontId="0" fillId="8" borderId="0" xfId="0" applyNumberFormat="1" applyFill="1"/>
    <xf numFmtId="165" fontId="0" fillId="8" borderId="10" xfId="0" applyNumberFormat="1" applyFill="1" applyBorder="1"/>
    <xf numFmtId="43" fontId="0" fillId="8" borderId="0" xfId="7" applyFont="1" applyFill="1"/>
    <xf numFmtId="44" fontId="0" fillId="8" borderId="0" xfId="2" applyFont="1" applyFill="1"/>
    <xf numFmtId="43" fontId="0" fillId="8" borderId="0" xfId="0" applyNumberFormat="1" applyFill="1"/>
    <xf numFmtId="0" fontId="0" fillId="8" borderId="10" xfId="0" applyFill="1" applyBorder="1" applyAlignment="1">
      <alignment horizontal="center" vertical="center" wrapText="1"/>
    </xf>
    <xf numFmtId="170" fontId="0" fillId="8" borderId="10" xfId="7" applyNumberFormat="1" applyFont="1" applyFill="1" applyBorder="1" applyAlignment="1">
      <alignment vertical="center"/>
    </xf>
    <xf numFmtId="3" fontId="0" fillId="8" borderId="10" xfId="0" applyNumberFormat="1" applyFill="1" applyBorder="1" applyAlignment="1">
      <alignment vertical="center"/>
    </xf>
    <xf numFmtId="171" fontId="0" fillId="8" borderId="10" xfId="7" applyNumberFormat="1" applyFont="1" applyFill="1" applyBorder="1" applyAlignment="1">
      <alignment vertical="center"/>
    </xf>
    <xf numFmtId="167" fontId="0" fillId="8" borderId="10" xfId="8" applyNumberFormat="1" applyFont="1" applyFill="1" applyBorder="1" applyAlignment="1"/>
    <xf numFmtId="167" fontId="0" fillId="8" borderId="10" xfId="2" applyNumberFormat="1" applyFont="1" applyFill="1" applyBorder="1" applyAlignment="1"/>
    <xf numFmtId="0" fontId="0" fillId="11" borderId="0" xfId="0" applyFill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3" fontId="11" fillId="18" borderId="10" xfId="0" applyNumberFormat="1" applyFont="1" applyFill="1" applyBorder="1" applyAlignment="1">
      <alignment horizontal="center" vertical="center"/>
    </xf>
    <xf numFmtId="3" fontId="11" fillId="18" borderId="11" xfId="0" applyNumberFormat="1" applyFont="1" applyFill="1" applyBorder="1" applyAlignment="1">
      <alignment horizontal="right"/>
    </xf>
    <xf numFmtId="3" fontId="11" fillId="18" borderId="12" xfId="0" applyNumberFormat="1" applyFont="1" applyFill="1" applyBorder="1" applyAlignment="1">
      <alignment horizontal="center" vertical="center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18" borderId="15" xfId="0" applyNumberFormat="1" applyFont="1" applyFill="1" applyBorder="1" applyAlignment="1">
      <alignment horizontal="center" vertical="center"/>
    </xf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3" fontId="11" fillId="5" borderId="35" xfId="0" applyNumberFormat="1" applyFont="1" applyFill="1" applyBorder="1" applyAlignment="1">
      <alignment horizontal="center"/>
    </xf>
    <xf numFmtId="3" fontId="11" fillId="5" borderId="19" xfId="0" applyNumberFormat="1" applyFont="1" applyFill="1" applyBorder="1"/>
    <xf numFmtId="3" fontId="11" fillId="5" borderId="22" xfId="0" applyNumberFormat="1" applyFont="1" applyFill="1" applyBorder="1" applyAlignment="1">
      <alignment horizontal="center"/>
    </xf>
    <xf numFmtId="3" fontId="11" fillId="29" borderId="31" xfId="0" applyNumberFormat="1" applyFont="1" applyFill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90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0" fontId="0" fillId="18" borderId="90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90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90" xfId="0" applyFill="1" applyBorder="1" applyAlignment="1">
      <alignment horizontal="center"/>
    </xf>
    <xf numFmtId="0" fontId="0" fillId="21" borderId="90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0" fontId="0" fillId="21" borderId="90" xfId="0" applyFill="1" applyBorder="1"/>
    <xf numFmtId="0" fontId="0" fillId="11" borderId="10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90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90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11" borderId="10" xfId="0" applyFill="1" applyBorder="1" applyAlignment="1">
      <alignment horizontal="center" wrapText="1"/>
    </xf>
    <xf numFmtId="3" fontId="0" fillId="11" borderId="10" xfId="0" applyNumberFormat="1" applyFill="1" applyBorder="1" applyAlignment="1">
      <alignment horizontal="center" vertical="center" wrapText="1"/>
    </xf>
    <xf numFmtId="0" fontId="0" fillId="5" borderId="90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166" fontId="0" fillId="8" borderId="10" xfId="0" applyNumberFormat="1" applyFill="1" applyBorder="1" applyAlignment="1">
      <alignment horizontal="center"/>
    </xf>
    <xf numFmtId="14" fontId="0" fillId="0" borderId="69" xfId="0" applyNumberFormat="1" applyBorder="1" applyAlignment="1">
      <alignment horizontal="left"/>
    </xf>
    <xf numFmtId="14" fontId="0" fillId="0" borderId="67" xfId="0" applyNumberFormat="1" applyBorder="1" applyAlignment="1">
      <alignment horizontal="left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42" fontId="0" fillId="0" borderId="10" xfId="0" applyNumberFormat="1" applyBorder="1"/>
    <xf numFmtId="1" fontId="0" fillId="0" borderId="10" xfId="0" applyNumberFormat="1" applyBorder="1" applyAlignment="1">
      <alignment horizontal="left"/>
    </xf>
    <xf numFmtId="0" fontId="0" fillId="15" borderId="22" xfId="0" applyFill="1" applyBorder="1"/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/>
    <xf numFmtId="0" fontId="0" fillId="8" borderId="90" xfId="0" applyFill="1" applyBorder="1"/>
    <xf numFmtId="0" fontId="0" fillId="0" borderId="0" xfId="0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0" fontId="0" fillId="8" borderId="27" xfId="0" applyFill="1" applyBorder="1" applyAlignment="1">
      <alignment horizontal="left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170" fontId="0" fillId="0" borderId="5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0" fontId="1" fillId="32" borderId="12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3" borderId="50" xfId="0" applyFont="1" applyFill="1" applyBorder="1" applyAlignment="1">
      <alignment horizontal="center"/>
    </xf>
    <xf numFmtId="0" fontId="1" fillId="33" borderId="51" xfId="0" applyFont="1" applyFill="1" applyBorder="1" applyAlignment="1">
      <alignment horizontal="center"/>
    </xf>
    <xf numFmtId="0" fontId="1" fillId="33" borderId="55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5" fillId="20" borderId="0" xfId="0" applyFont="1" applyFill="1" applyAlignment="1">
      <alignment horizontal="center"/>
    </xf>
    <xf numFmtId="0" fontId="19" fillId="27" borderId="1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0" fontId="0" fillId="0" borderId="10" xfId="0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</cellXfs>
  <cellStyles count="12">
    <cellStyle name="Millares" xfId="7" builtinId="3"/>
    <cellStyle name="Millares 2" xfId="5" xr:uid="{2C68F984-66DD-4E9A-9396-C2F9F3FE6657}"/>
    <cellStyle name="Millares 2 2" xfId="10" xr:uid="{DB988A2B-4A92-498C-BE14-51E89EE9BF62}"/>
    <cellStyle name="Moneda" xfId="2" builtinId="4"/>
    <cellStyle name="Moneda 2" xfId="6" xr:uid="{2D6706FF-A95C-4230-993C-F7065A8E9301}"/>
    <cellStyle name="Moneda 2 2" xfId="11" xr:uid="{2D74D855-6DE7-4368-B27B-579019CE8A1D}"/>
    <cellStyle name="Moneda 3" xfId="9" xr:uid="{98A09EB3-FD05-449B-8DB5-9AA8F81AD3D8}"/>
    <cellStyle name="Normal" xfId="0" builtinId="0"/>
    <cellStyle name="Normal 2" xfId="3" xr:uid="{9A1E587F-2BA3-4FF7-B696-67E326A2487C}"/>
    <cellStyle name="Normal 3" xfId="4" xr:uid="{F3EA175A-61D6-4DB8-A9C2-FE2C6568079F}"/>
    <cellStyle name="Porcentaje" xfId="8" builtinId="5"/>
    <cellStyle name="Porcentaje 2" xfId="1" xr:uid="{9BABFD08-0A55-4FCC-BE37-D74FD39BB202}"/>
  </cellStyles>
  <dxfs count="633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numFmt numFmtId="34" formatCode="_-&quot;$&quot;\ * #,##0.00_-;\-&quot;$&quot;\ * #,##0.00_-;_-&quot;$&quot;\ * &quot;-&quot;??_-;_-@_-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&quot;$&quot;\ #,##0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_-* #,##0_-;\-* #,##0_-;_-* &quot;-&quot;??_-;_-@_-"/>
      <fill>
        <patternFill patternType="solid">
          <fgColor indexed="64"/>
          <bgColor theme="5" tint="0.79998168889431442"/>
        </patternFill>
      </fill>
    </dxf>
    <dxf>
      <font>
        <color auto="1"/>
      </font>
      <numFmt numFmtId="165" formatCode="[$$-240A]\ 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numFmt numFmtId="167" formatCode="_-&quot;$&quot;\ * #,##0_-;\-&quot;$&quot;\ * #,##0_-;_-&quot;$&quot;\ * &quot;-&quot;??_-;_-@_-"/>
    </dxf>
    <dxf>
      <alignment horizontal="center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</dxfs>
  <tableStyles count="0" defaultTableStyle="TableStyleMedium2" defaultPivotStyle="PivotStyleLight16"/>
  <colors>
    <mruColors>
      <color rgb="FFA54C0F"/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03030747811463"/>
          <c:y val="0.10434649438513563"/>
          <c:w val="0.75485347178278228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QUIMICA'!$AK$5:$AK$33</c:f>
              <c:numCache>
                <c:formatCode>#,##0</c:formatCode>
                <c:ptCount val="28"/>
                <c:pt idx="0">
                  <c:v>0</c:v>
                </c:pt>
                <c:pt idx="1">
                  <c:v>1125</c:v>
                </c:pt>
                <c:pt idx="2">
                  <c:v>1650</c:v>
                </c:pt>
                <c:pt idx="3">
                  <c:v>1575</c:v>
                </c:pt>
                <c:pt idx="4">
                  <c:v>1500</c:v>
                </c:pt>
                <c:pt idx="5">
                  <c:v>1350</c:v>
                </c:pt>
                <c:pt idx="6">
                  <c:v>900</c:v>
                </c:pt>
                <c:pt idx="7">
                  <c:v>0</c:v>
                </c:pt>
                <c:pt idx="8">
                  <c:v>1350</c:v>
                </c:pt>
                <c:pt idx="9">
                  <c:v>1425</c:v>
                </c:pt>
                <c:pt idx="10">
                  <c:v>1275</c:v>
                </c:pt>
                <c:pt idx="11">
                  <c:v>1200</c:v>
                </c:pt>
                <c:pt idx="12">
                  <c:v>1125</c:v>
                </c:pt>
                <c:pt idx="13">
                  <c:v>1125</c:v>
                </c:pt>
                <c:pt idx="14">
                  <c:v>0</c:v>
                </c:pt>
                <c:pt idx="15">
                  <c:v>1440</c:v>
                </c:pt>
                <c:pt idx="16">
                  <c:v>1200</c:v>
                </c:pt>
                <c:pt idx="17">
                  <c:v>960</c:v>
                </c:pt>
                <c:pt idx="18">
                  <c:v>1200</c:v>
                </c:pt>
                <c:pt idx="19">
                  <c:v>1360</c:v>
                </c:pt>
                <c:pt idx="20">
                  <c:v>880</c:v>
                </c:pt>
                <c:pt idx="21">
                  <c:v>0</c:v>
                </c:pt>
                <c:pt idx="22">
                  <c:v>720</c:v>
                </c:pt>
                <c:pt idx="23">
                  <c:v>1120</c:v>
                </c:pt>
                <c:pt idx="24">
                  <c:v>1440</c:v>
                </c:pt>
                <c:pt idx="25">
                  <c:v>1760</c:v>
                </c:pt>
                <c:pt idx="26">
                  <c:v>1440</c:v>
                </c:pt>
                <c:pt idx="27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QUIMICA'!$AL$5:$AL$33</c:f>
              <c:numCache>
                <c:formatCode>#,##0</c:formatCode>
                <c:ptCount val="28"/>
                <c:pt idx="0">
                  <c:v>0</c:v>
                </c:pt>
                <c:pt idx="1">
                  <c:v>4748.1533333333336</c:v>
                </c:pt>
                <c:pt idx="2">
                  <c:v>3732.7651515151515</c:v>
                </c:pt>
                <c:pt idx="3">
                  <c:v>3747.9793650793649</c:v>
                </c:pt>
                <c:pt idx="4">
                  <c:v>2896.65</c:v>
                </c:pt>
                <c:pt idx="5">
                  <c:v>4029.6759259259261</c:v>
                </c:pt>
                <c:pt idx="6">
                  <c:v>3415.6944444444443</c:v>
                </c:pt>
                <c:pt idx="7">
                  <c:v>0</c:v>
                </c:pt>
                <c:pt idx="8">
                  <c:v>3314.4259259259261</c:v>
                </c:pt>
                <c:pt idx="9">
                  <c:v>1834.9859649122807</c:v>
                </c:pt>
                <c:pt idx="10">
                  <c:v>2305.9705882352941</c:v>
                </c:pt>
                <c:pt idx="11">
                  <c:v>2339.7979166666669</c:v>
                </c:pt>
                <c:pt idx="12">
                  <c:v>3432.9355555555558</c:v>
                </c:pt>
                <c:pt idx="13">
                  <c:v>2265.1644444444446</c:v>
                </c:pt>
                <c:pt idx="14">
                  <c:v>0</c:v>
                </c:pt>
                <c:pt idx="15">
                  <c:v>3873.9756944444443</c:v>
                </c:pt>
                <c:pt idx="16">
                  <c:v>2261.71875</c:v>
                </c:pt>
                <c:pt idx="17">
                  <c:v>2397.78125</c:v>
                </c:pt>
                <c:pt idx="18">
                  <c:v>2745.5250000000001</c:v>
                </c:pt>
                <c:pt idx="19">
                  <c:v>2221.6636029411766</c:v>
                </c:pt>
                <c:pt idx="20">
                  <c:v>4173.076704545455</c:v>
                </c:pt>
                <c:pt idx="21">
                  <c:v>0</c:v>
                </c:pt>
                <c:pt idx="22">
                  <c:v>4786.760416666667</c:v>
                </c:pt>
                <c:pt idx="23">
                  <c:v>4312.2946428571431</c:v>
                </c:pt>
                <c:pt idx="24">
                  <c:v>3124.6493055555557</c:v>
                </c:pt>
                <c:pt idx="25">
                  <c:v>2749.6988636363635</c:v>
                </c:pt>
                <c:pt idx="26">
                  <c:v>3432.7482638888887</c:v>
                </c:pt>
                <c:pt idx="27">
                  <c:v>4258.471354166667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QUIMICA'!$AM$5:$AM$33</c:f>
              <c:numCache>
                <c:formatCode>"$"\ #,##0</c:formatCode>
                <c:ptCount val="28"/>
                <c:pt idx="0">
                  <c:v>5250</c:v>
                </c:pt>
                <c:pt idx="1">
                  <c:v>5250</c:v>
                </c:pt>
                <c:pt idx="2">
                  <c:v>5250</c:v>
                </c:pt>
                <c:pt idx="3">
                  <c:v>5250</c:v>
                </c:pt>
                <c:pt idx="4">
                  <c:v>5250</c:v>
                </c:pt>
                <c:pt idx="5">
                  <c:v>5250</c:v>
                </c:pt>
                <c:pt idx="6">
                  <c:v>5250</c:v>
                </c:pt>
                <c:pt idx="7">
                  <c:v>5250</c:v>
                </c:pt>
                <c:pt idx="8">
                  <c:v>5250</c:v>
                </c:pt>
                <c:pt idx="9">
                  <c:v>5250</c:v>
                </c:pt>
                <c:pt idx="10">
                  <c:v>5250</c:v>
                </c:pt>
                <c:pt idx="11">
                  <c:v>5250</c:v>
                </c:pt>
                <c:pt idx="12">
                  <c:v>5250</c:v>
                </c:pt>
                <c:pt idx="13">
                  <c:v>5250</c:v>
                </c:pt>
                <c:pt idx="14">
                  <c:v>5250</c:v>
                </c:pt>
                <c:pt idx="15">
                  <c:v>5250</c:v>
                </c:pt>
                <c:pt idx="16">
                  <c:v>5250</c:v>
                </c:pt>
                <c:pt idx="17">
                  <c:v>5250</c:v>
                </c:pt>
                <c:pt idx="18">
                  <c:v>5250</c:v>
                </c:pt>
                <c:pt idx="19">
                  <c:v>5250</c:v>
                </c:pt>
                <c:pt idx="20">
                  <c:v>5250</c:v>
                </c:pt>
                <c:pt idx="21">
                  <c:v>5250</c:v>
                </c:pt>
                <c:pt idx="22">
                  <c:v>5250</c:v>
                </c:pt>
                <c:pt idx="23">
                  <c:v>5250</c:v>
                </c:pt>
                <c:pt idx="24">
                  <c:v>5250</c:v>
                </c:pt>
                <c:pt idx="25">
                  <c:v>5250</c:v>
                </c:pt>
                <c:pt idx="26">
                  <c:v>5250</c:v>
                </c:pt>
                <c:pt idx="27">
                  <c:v>5250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20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QUIMICA'!$AU$5:$AU$36</c:f>
              <c:numCache>
                <c:formatCode>General</c:formatCode>
                <c:ptCount val="31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  <c:pt idx="13">
                  <c:v>933.47800000000007</c:v>
                </c:pt>
                <c:pt idx="14">
                  <c:v>1344.463</c:v>
                </c:pt>
                <c:pt idx="15">
                  <c:v>841.25300000000004</c:v>
                </c:pt>
                <c:pt idx="16">
                  <c:v>463.25599999999997</c:v>
                </c:pt>
                <c:pt idx="17">
                  <c:v>0</c:v>
                </c:pt>
                <c:pt idx="18">
                  <c:v>257.33499999999998</c:v>
                </c:pt>
                <c:pt idx="19">
                  <c:v>596.75</c:v>
                </c:pt>
                <c:pt idx="20">
                  <c:v>907.61500000000001</c:v>
                </c:pt>
                <c:pt idx="21">
                  <c:v>878.96100000000001</c:v>
                </c:pt>
                <c:pt idx="22">
                  <c:v>576.23099999999999</c:v>
                </c:pt>
                <c:pt idx="23">
                  <c:v>0</c:v>
                </c:pt>
                <c:pt idx="24">
                  <c:v>0</c:v>
                </c:pt>
                <c:pt idx="25">
                  <c:v>442.12</c:v>
                </c:pt>
                <c:pt idx="26">
                  <c:v>640.01800000000003</c:v>
                </c:pt>
                <c:pt idx="27">
                  <c:v>1038.94</c:v>
                </c:pt>
                <c:pt idx="28">
                  <c:v>1064.713</c:v>
                </c:pt>
                <c:pt idx="29">
                  <c:v>1257.1569999999999</c:v>
                </c:pt>
                <c:pt idx="30">
                  <c:v>665.32299999999998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QUIMICA'!$AV$5:$AV$36</c:f>
              <c:numCache>
                <c:formatCode>_-"$"\ * #,##0_-;\-"$"\ * #,##0_-;_-"$"\ * "-"??_-;_-@_-</c:formatCode>
                <c:ptCount val="3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QUIMICA'!$AW$5:$AW$36</c:f>
              <c:numCache>
                <c:formatCode>"$"\ #,##0</c:formatCode>
                <c:ptCount val="31"/>
                <c:pt idx="0">
                  <c:v>0</c:v>
                </c:pt>
                <c:pt idx="1">
                  <c:v>91</c:v>
                </c:pt>
                <c:pt idx="2">
                  <c:v>0</c:v>
                </c:pt>
                <c:pt idx="3">
                  <c:v>0</c:v>
                </c:pt>
                <c:pt idx="4">
                  <c:v>91</c:v>
                </c:pt>
                <c:pt idx="5">
                  <c:v>139.02466637879704</c:v>
                </c:pt>
                <c:pt idx="6">
                  <c:v>539.15153662009277</c:v>
                </c:pt>
                <c:pt idx="7">
                  <c:v>158.20983916683917</c:v>
                </c:pt>
                <c:pt idx="8">
                  <c:v>1512.4814534466234</c:v>
                </c:pt>
                <c:pt idx="9">
                  <c:v>129.31202133093603</c:v>
                </c:pt>
                <c:pt idx="10">
                  <c:v>0</c:v>
                </c:pt>
                <c:pt idx="11">
                  <c:v>0</c:v>
                </c:pt>
                <c:pt idx="12">
                  <c:v>945.28690172387246</c:v>
                </c:pt>
                <c:pt idx="13">
                  <c:v>332.63944814117724</c:v>
                </c:pt>
                <c:pt idx="14">
                  <c:v>234.16839028576615</c:v>
                </c:pt>
                <c:pt idx="15">
                  <c:v>213.67855836847883</c:v>
                </c:pt>
                <c:pt idx="16">
                  <c:v>221.83034835954436</c:v>
                </c:pt>
                <c:pt idx="17">
                  <c:v>0</c:v>
                </c:pt>
                <c:pt idx="18">
                  <c:v>91.000000000000014</c:v>
                </c:pt>
                <c:pt idx="19">
                  <c:v>91</c:v>
                </c:pt>
                <c:pt idx="20">
                  <c:v>137.01997658988844</c:v>
                </c:pt>
                <c:pt idx="21">
                  <c:v>91</c:v>
                </c:pt>
                <c:pt idx="22">
                  <c:v>91.000000000000014</c:v>
                </c:pt>
                <c:pt idx="23">
                  <c:v>0</c:v>
                </c:pt>
                <c:pt idx="24">
                  <c:v>0</c:v>
                </c:pt>
                <c:pt idx="25">
                  <c:v>91</c:v>
                </c:pt>
                <c:pt idx="26">
                  <c:v>91</c:v>
                </c:pt>
                <c:pt idx="27">
                  <c:v>90.999999999999986</c:v>
                </c:pt>
                <c:pt idx="28">
                  <c:v>91</c:v>
                </c:pt>
                <c:pt idx="29">
                  <c:v>91</c:v>
                </c:pt>
                <c:pt idx="30">
                  <c:v>91.000000000000014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FEBRERO.xlsx]DB QUIMICA!TablaDinámica9</c:name>
    <c:fmtId val="1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QUIMICA'!$AQ$4</c:f>
              <c:strCache>
                <c:ptCount val="1"/>
                <c:pt idx="0">
                  <c:v>VOLUMEN TRATADO GEM 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QUIMICA'!$AQ$5:$AQ$33</c:f>
              <c:numCache>
                <c:formatCode>#,##0</c:formatCode>
                <c:ptCount val="28"/>
                <c:pt idx="0">
                  <c:v>0</c:v>
                </c:pt>
                <c:pt idx="1">
                  <c:v>1125</c:v>
                </c:pt>
                <c:pt idx="2">
                  <c:v>1650</c:v>
                </c:pt>
                <c:pt idx="3">
                  <c:v>1575</c:v>
                </c:pt>
                <c:pt idx="4">
                  <c:v>1500</c:v>
                </c:pt>
                <c:pt idx="5">
                  <c:v>1350</c:v>
                </c:pt>
                <c:pt idx="6">
                  <c:v>900</c:v>
                </c:pt>
                <c:pt idx="7">
                  <c:v>0</c:v>
                </c:pt>
                <c:pt idx="8">
                  <c:v>1350</c:v>
                </c:pt>
                <c:pt idx="9">
                  <c:v>1425</c:v>
                </c:pt>
                <c:pt idx="10">
                  <c:v>1275</c:v>
                </c:pt>
                <c:pt idx="11">
                  <c:v>1200</c:v>
                </c:pt>
                <c:pt idx="12">
                  <c:v>1125</c:v>
                </c:pt>
                <c:pt idx="13">
                  <c:v>1125</c:v>
                </c:pt>
                <c:pt idx="14">
                  <c:v>0</c:v>
                </c:pt>
                <c:pt idx="15">
                  <c:v>1440</c:v>
                </c:pt>
                <c:pt idx="16">
                  <c:v>1200</c:v>
                </c:pt>
                <c:pt idx="17">
                  <c:v>960</c:v>
                </c:pt>
                <c:pt idx="18">
                  <c:v>1200</c:v>
                </c:pt>
                <c:pt idx="19">
                  <c:v>1360</c:v>
                </c:pt>
                <c:pt idx="20">
                  <c:v>880</c:v>
                </c:pt>
                <c:pt idx="21">
                  <c:v>0</c:v>
                </c:pt>
                <c:pt idx="22">
                  <c:v>720</c:v>
                </c:pt>
                <c:pt idx="23">
                  <c:v>1120</c:v>
                </c:pt>
                <c:pt idx="24">
                  <c:v>1440</c:v>
                </c:pt>
                <c:pt idx="25">
                  <c:v>1760</c:v>
                </c:pt>
                <c:pt idx="26">
                  <c:v>1440</c:v>
                </c:pt>
                <c:pt idx="27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0-4F0A-9D85-8AC10DE0F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lineChart>
        <c:grouping val="standard"/>
        <c:varyColors val="0"/>
        <c:ser>
          <c:idx val="1"/>
          <c:order val="1"/>
          <c:tx>
            <c:strRef>
              <c:f>'DB QUIMICA'!$AR$4</c:f>
              <c:strCache>
                <c:ptCount val="1"/>
                <c:pt idx="0">
                  <c:v>HORAS DE OPERACIÓN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QUIMICA'!$AR$5:$AR$33</c:f>
              <c:numCache>
                <c:formatCode>#,##0</c:formatCode>
                <c:ptCount val="28"/>
                <c:pt idx="0">
                  <c:v>0</c:v>
                </c:pt>
                <c:pt idx="1">
                  <c:v>15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0</c:v>
                </c:pt>
                <c:pt idx="8">
                  <c:v>18</c:v>
                </c:pt>
                <c:pt idx="9">
                  <c:v>19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0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17</c:v>
                </c:pt>
                <c:pt idx="20">
                  <c:v>11</c:v>
                </c:pt>
                <c:pt idx="21">
                  <c:v>0</c:v>
                </c:pt>
                <c:pt idx="22">
                  <c:v>9</c:v>
                </c:pt>
                <c:pt idx="23">
                  <c:v>14</c:v>
                </c:pt>
                <c:pt idx="24">
                  <c:v>18</c:v>
                </c:pt>
                <c:pt idx="25">
                  <c:v>22</c:v>
                </c:pt>
                <c:pt idx="26">
                  <c:v>18</c:v>
                </c:pt>
                <c:pt idx="2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1-49BF-938C-E658F5A738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6926095"/>
        <c:axId val="376919375"/>
      </c:line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valAx>
        <c:axId val="376919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 DE OPERACION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926095"/>
        <c:crosses val="autoZero"/>
        <c:crossBetween val="between"/>
      </c:valAx>
      <c:catAx>
        <c:axId val="3769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91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FEBRERO.xlsx]DB QUIMICA!TablaDinámica2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QUIMICA'!$AZ$5:$AZ$36</c:f>
              <c:numCache>
                <c:formatCode>General</c:formatCode>
                <c:ptCount val="31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  <c:pt idx="13">
                  <c:v>933.47800000000007</c:v>
                </c:pt>
                <c:pt idx="14">
                  <c:v>1344.463</c:v>
                </c:pt>
                <c:pt idx="15">
                  <c:v>841.25300000000004</c:v>
                </c:pt>
                <c:pt idx="16">
                  <c:v>463.25599999999997</c:v>
                </c:pt>
                <c:pt idx="17">
                  <c:v>0</c:v>
                </c:pt>
                <c:pt idx="18">
                  <c:v>257.33499999999998</c:v>
                </c:pt>
                <c:pt idx="19">
                  <c:v>596.75</c:v>
                </c:pt>
                <c:pt idx="20">
                  <c:v>907.61500000000001</c:v>
                </c:pt>
                <c:pt idx="21">
                  <c:v>878.96100000000001</c:v>
                </c:pt>
                <c:pt idx="22">
                  <c:v>576.23099999999999</c:v>
                </c:pt>
                <c:pt idx="23">
                  <c:v>0</c:v>
                </c:pt>
                <c:pt idx="24">
                  <c:v>0</c:v>
                </c:pt>
                <c:pt idx="25">
                  <c:v>442.12</c:v>
                </c:pt>
                <c:pt idx="26">
                  <c:v>640.01800000000003</c:v>
                </c:pt>
                <c:pt idx="27">
                  <c:v>1038.94</c:v>
                </c:pt>
                <c:pt idx="28">
                  <c:v>1064.713</c:v>
                </c:pt>
                <c:pt idx="29">
                  <c:v>1257.1569999999999</c:v>
                </c:pt>
                <c:pt idx="30">
                  <c:v>665.32299999999998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QUIMICA'!$BA$5:$BA$36</c:f>
              <c:numCache>
                <c:formatCode>0.00</c:formatCode>
                <c:ptCount val="31"/>
                <c:pt idx="0">
                  <c:v>0</c:v>
                </c:pt>
                <c:pt idx="1">
                  <c:v>4.680890909090909</c:v>
                </c:pt>
                <c:pt idx="2">
                  <c:v>0</c:v>
                </c:pt>
                <c:pt idx="3">
                  <c:v>0</c:v>
                </c:pt>
                <c:pt idx="4">
                  <c:v>5.0586000000000002</c:v>
                </c:pt>
                <c:pt idx="5">
                  <c:v>10.542163636363636</c:v>
                </c:pt>
                <c:pt idx="6">
                  <c:v>5.3367090909090908</c:v>
                </c:pt>
                <c:pt idx="7">
                  <c:v>10.193054545454546</c:v>
                </c:pt>
                <c:pt idx="8">
                  <c:v>6.2957999999999998</c:v>
                </c:pt>
                <c:pt idx="9">
                  <c:v>4.6666727272727275</c:v>
                </c:pt>
                <c:pt idx="10">
                  <c:v>0</c:v>
                </c:pt>
                <c:pt idx="11">
                  <c:v>0</c:v>
                </c:pt>
                <c:pt idx="12">
                  <c:v>2.7891272727272725</c:v>
                </c:pt>
                <c:pt idx="13">
                  <c:v>16.972327272727274</c:v>
                </c:pt>
                <c:pt idx="14">
                  <c:v>24.44478181818182</c:v>
                </c:pt>
                <c:pt idx="15">
                  <c:v>15.295509090909091</c:v>
                </c:pt>
                <c:pt idx="16">
                  <c:v>8.4228363636363639</c:v>
                </c:pt>
                <c:pt idx="17">
                  <c:v>0</c:v>
                </c:pt>
                <c:pt idx="18">
                  <c:v>4.6788181818181815</c:v>
                </c:pt>
                <c:pt idx="19">
                  <c:v>10.85</c:v>
                </c:pt>
                <c:pt idx="20">
                  <c:v>16.502090909090906</c:v>
                </c:pt>
                <c:pt idx="21">
                  <c:v>15.981109090909092</c:v>
                </c:pt>
                <c:pt idx="22">
                  <c:v>10.476927272727274</c:v>
                </c:pt>
                <c:pt idx="23">
                  <c:v>0</c:v>
                </c:pt>
                <c:pt idx="24">
                  <c:v>0</c:v>
                </c:pt>
                <c:pt idx="25">
                  <c:v>6.3159999999999989</c:v>
                </c:pt>
                <c:pt idx="26">
                  <c:v>9.6972424242424253</c:v>
                </c:pt>
                <c:pt idx="27">
                  <c:v>15.983692307692307</c:v>
                </c:pt>
                <c:pt idx="28">
                  <c:v>18.728119268600253</c:v>
                </c:pt>
                <c:pt idx="29">
                  <c:v>20.952616666666664</c:v>
                </c:pt>
                <c:pt idx="30">
                  <c:v>12.558320279720281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FEBRERO.xlsx]GRAFICAS!TablaDinámica5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GRAFICAS!$W$4:$W$32</c:f>
              <c:numCache>
                <c:formatCode>#,##0</c:formatCode>
                <c:ptCount val="28"/>
                <c:pt idx="0">
                  <c:v>0</c:v>
                </c:pt>
                <c:pt idx="1">
                  <c:v>3.3333333333333335</c:v>
                </c:pt>
                <c:pt idx="2">
                  <c:v>1.5151515151515151</c:v>
                </c:pt>
                <c:pt idx="3">
                  <c:v>0</c:v>
                </c:pt>
                <c:pt idx="4">
                  <c:v>1.6666666666666667</c:v>
                </c:pt>
                <c:pt idx="5">
                  <c:v>3.7037037037037037</c:v>
                </c:pt>
                <c:pt idx="6">
                  <c:v>2.7777777777777777</c:v>
                </c:pt>
                <c:pt idx="7">
                  <c:v>0</c:v>
                </c:pt>
                <c:pt idx="8">
                  <c:v>2.7777777777777777</c:v>
                </c:pt>
                <c:pt idx="9">
                  <c:v>2.6315789473684212</c:v>
                </c:pt>
                <c:pt idx="10">
                  <c:v>2.9411764705882355</c:v>
                </c:pt>
                <c:pt idx="11">
                  <c:v>3.125</c:v>
                </c:pt>
                <c:pt idx="12">
                  <c:v>3.3333333333333335</c:v>
                </c:pt>
                <c:pt idx="13">
                  <c:v>2.2222222222222223</c:v>
                </c:pt>
                <c:pt idx="14">
                  <c:v>0</c:v>
                </c:pt>
                <c:pt idx="15">
                  <c:v>2.6041666666666665</c:v>
                </c:pt>
                <c:pt idx="16">
                  <c:v>3.125</c:v>
                </c:pt>
                <c:pt idx="17">
                  <c:v>3.90625</c:v>
                </c:pt>
                <c:pt idx="18">
                  <c:v>3.125</c:v>
                </c:pt>
                <c:pt idx="19">
                  <c:v>2.7573529411764706</c:v>
                </c:pt>
                <c:pt idx="20">
                  <c:v>4.2613636363636367</c:v>
                </c:pt>
                <c:pt idx="21">
                  <c:v>0</c:v>
                </c:pt>
                <c:pt idx="22">
                  <c:v>5.208333333333333</c:v>
                </c:pt>
                <c:pt idx="23">
                  <c:v>3.3482142857142856</c:v>
                </c:pt>
                <c:pt idx="24">
                  <c:v>2.6041666666666665</c:v>
                </c:pt>
                <c:pt idx="25">
                  <c:v>2.1306818181818183</c:v>
                </c:pt>
                <c:pt idx="26">
                  <c:v>2.6041666666666665</c:v>
                </c:pt>
                <c:pt idx="27">
                  <c:v>2.6041666666666665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AEB-AE4F-B463D406B34D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GRAFICAS!$X$4:$X$32</c:f>
              <c:numCache>
                <c:formatCode>#,##0</c:formatCode>
                <c:ptCount val="28"/>
                <c:pt idx="0">
                  <c:v>0</c:v>
                </c:pt>
                <c:pt idx="1">
                  <c:v>0.55555555555555558</c:v>
                </c:pt>
                <c:pt idx="2">
                  <c:v>1.1363636363636365</c:v>
                </c:pt>
                <c:pt idx="3">
                  <c:v>0</c:v>
                </c:pt>
                <c:pt idx="4">
                  <c:v>1.6666666666666667</c:v>
                </c:pt>
                <c:pt idx="5">
                  <c:v>0.92592592592592593</c:v>
                </c:pt>
                <c:pt idx="6">
                  <c:v>2.7777777777777777</c:v>
                </c:pt>
                <c:pt idx="7">
                  <c:v>0</c:v>
                </c:pt>
                <c:pt idx="8">
                  <c:v>1.8518518518518519</c:v>
                </c:pt>
                <c:pt idx="9">
                  <c:v>0.8771929824561403</c:v>
                </c:pt>
                <c:pt idx="10">
                  <c:v>1.9607843137254901</c:v>
                </c:pt>
                <c:pt idx="11">
                  <c:v>2.0833333333333335</c:v>
                </c:pt>
                <c:pt idx="12">
                  <c:v>1.1111111111111112</c:v>
                </c:pt>
                <c:pt idx="13">
                  <c:v>2.2222222222222223</c:v>
                </c:pt>
                <c:pt idx="14">
                  <c:v>0</c:v>
                </c:pt>
                <c:pt idx="15">
                  <c:v>0.86805555555555558</c:v>
                </c:pt>
                <c:pt idx="16">
                  <c:v>1.0416666666666667</c:v>
                </c:pt>
                <c:pt idx="17">
                  <c:v>1.3020833333333333</c:v>
                </c:pt>
                <c:pt idx="18">
                  <c:v>1.0416666666666667</c:v>
                </c:pt>
                <c:pt idx="19">
                  <c:v>0.91911764705882348</c:v>
                </c:pt>
                <c:pt idx="20">
                  <c:v>1.4204545454545454</c:v>
                </c:pt>
                <c:pt idx="21">
                  <c:v>0</c:v>
                </c:pt>
                <c:pt idx="22">
                  <c:v>3.4722222222222223</c:v>
                </c:pt>
                <c:pt idx="23">
                  <c:v>1.1160714285714286</c:v>
                </c:pt>
                <c:pt idx="24">
                  <c:v>1.7361111111111112</c:v>
                </c:pt>
                <c:pt idx="25">
                  <c:v>0.71022727272727271</c:v>
                </c:pt>
                <c:pt idx="26">
                  <c:v>1.7361111111111112</c:v>
                </c:pt>
                <c:pt idx="27">
                  <c:v>1.3020833333333333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AEB-AE4F-B463D406B34D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GRAFICAS!$Y$4:$Y$32</c:f>
              <c:numCache>
                <c:formatCode>#,##0</c:formatCode>
                <c:ptCount val="28"/>
                <c:pt idx="0">
                  <c:v>0</c:v>
                </c:pt>
                <c:pt idx="1">
                  <c:v>391.11111111111109</c:v>
                </c:pt>
                <c:pt idx="2">
                  <c:v>333.33333333333331</c:v>
                </c:pt>
                <c:pt idx="3">
                  <c:v>552.38095238095241</c:v>
                </c:pt>
                <c:pt idx="4">
                  <c:v>200</c:v>
                </c:pt>
                <c:pt idx="5">
                  <c:v>148.14814814814815</c:v>
                </c:pt>
                <c:pt idx="6">
                  <c:v>277.77777777777777</c:v>
                </c:pt>
                <c:pt idx="7">
                  <c:v>0</c:v>
                </c:pt>
                <c:pt idx="8">
                  <c:v>111.11111111111111</c:v>
                </c:pt>
                <c:pt idx="9">
                  <c:v>189.47368421052633</c:v>
                </c:pt>
                <c:pt idx="10">
                  <c:v>235.29411764705881</c:v>
                </c:pt>
                <c:pt idx="11">
                  <c:v>275</c:v>
                </c:pt>
                <c:pt idx="12">
                  <c:v>275.55555555555554</c:v>
                </c:pt>
                <c:pt idx="13">
                  <c:v>80</c:v>
                </c:pt>
                <c:pt idx="14">
                  <c:v>0</c:v>
                </c:pt>
                <c:pt idx="15">
                  <c:v>277.77777777777777</c:v>
                </c:pt>
                <c:pt idx="16">
                  <c:v>208.33333333333334</c:v>
                </c:pt>
                <c:pt idx="17">
                  <c:v>291.66666666666669</c:v>
                </c:pt>
                <c:pt idx="18">
                  <c:v>266.66666666666669</c:v>
                </c:pt>
                <c:pt idx="19">
                  <c:v>183.8235294117647</c:v>
                </c:pt>
                <c:pt idx="20">
                  <c:v>318.18181818181819</c:v>
                </c:pt>
                <c:pt idx="21">
                  <c:v>0</c:v>
                </c:pt>
                <c:pt idx="22">
                  <c:v>722.22222222222217</c:v>
                </c:pt>
                <c:pt idx="23">
                  <c:v>116.07142857142857</c:v>
                </c:pt>
                <c:pt idx="24">
                  <c:v>125</c:v>
                </c:pt>
                <c:pt idx="25">
                  <c:v>443.18181818181819</c:v>
                </c:pt>
                <c:pt idx="26">
                  <c:v>298.61111111111109</c:v>
                </c:pt>
                <c:pt idx="27">
                  <c:v>343.75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AEB-AE4F-B463D406B34D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GRAFICAS!$Z$4:$Z$32</c:f>
              <c:numCache>
                <c:formatCode>#,##0</c:formatCode>
                <c:ptCount val="28"/>
                <c:pt idx="0">
                  <c:v>0</c:v>
                </c:pt>
                <c:pt idx="1">
                  <c:v>728.88888888888891</c:v>
                </c:pt>
                <c:pt idx="2">
                  <c:v>460.60606060606062</c:v>
                </c:pt>
                <c:pt idx="3">
                  <c:v>495.23809523809524</c:v>
                </c:pt>
                <c:pt idx="4">
                  <c:v>353.33333333333331</c:v>
                </c:pt>
                <c:pt idx="5">
                  <c:v>585.18518518518522</c:v>
                </c:pt>
                <c:pt idx="6">
                  <c:v>555.55555555555554</c:v>
                </c:pt>
                <c:pt idx="7">
                  <c:v>0</c:v>
                </c:pt>
                <c:pt idx="8">
                  <c:v>518.51851851851848</c:v>
                </c:pt>
                <c:pt idx="9">
                  <c:v>231.57894736842104</c:v>
                </c:pt>
                <c:pt idx="10">
                  <c:v>250.98039215686273</c:v>
                </c:pt>
                <c:pt idx="11">
                  <c:v>333.33333333333331</c:v>
                </c:pt>
                <c:pt idx="12">
                  <c:v>444.44444444444446</c:v>
                </c:pt>
                <c:pt idx="13">
                  <c:v>435.55555555555554</c:v>
                </c:pt>
                <c:pt idx="14">
                  <c:v>0</c:v>
                </c:pt>
                <c:pt idx="15">
                  <c:v>597.22222222222217</c:v>
                </c:pt>
                <c:pt idx="16">
                  <c:v>250</c:v>
                </c:pt>
                <c:pt idx="17">
                  <c:v>0</c:v>
                </c:pt>
                <c:pt idx="18">
                  <c:v>308.33333333333331</c:v>
                </c:pt>
                <c:pt idx="19">
                  <c:v>279.41176470588238</c:v>
                </c:pt>
                <c:pt idx="20">
                  <c:v>568.18181818181813</c:v>
                </c:pt>
                <c:pt idx="21">
                  <c:v>0</c:v>
                </c:pt>
                <c:pt idx="22">
                  <c:v>541.66666666666663</c:v>
                </c:pt>
                <c:pt idx="23">
                  <c:v>625</c:v>
                </c:pt>
                <c:pt idx="24">
                  <c:v>541.66666666666663</c:v>
                </c:pt>
                <c:pt idx="25">
                  <c:v>295.45454545454544</c:v>
                </c:pt>
                <c:pt idx="26">
                  <c:v>416.66666666666669</c:v>
                </c:pt>
                <c:pt idx="27">
                  <c:v>520.83333333333337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AEB-AE4F-B463D406B34D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GRAFICAS!$AA$4:$AA$32</c:f>
              <c:numCache>
                <c:formatCode>#,##0</c:formatCode>
                <c:ptCount val="28"/>
                <c:pt idx="0">
                  <c:v>0</c:v>
                </c:pt>
                <c:pt idx="1">
                  <c:v>151.11111111111111</c:v>
                </c:pt>
                <c:pt idx="2">
                  <c:v>175.75757575757575</c:v>
                </c:pt>
                <c:pt idx="3">
                  <c:v>158.73015873015873</c:v>
                </c:pt>
                <c:pt idx="4">
                  <c:v>133.33333333333334</c:v>
                </c:pt>
                <c:pt idx="5">
                  <c:v>155.55555555555554</c:v>
                </c:pt>
                <c:pt idx="6">
                  <c:v>66.666666666666671</c:v>
                </c:pt>
                <c:pt idx="7">
                  <c:v>0</c:v>
                </c:pt>
                <c:pt idx="8">
                  <c:v>103.70370370370371</c:v>
                </c:pt>
                <c:pt idx="9">
                  <c:v>56.140350877192979</c:v>
                </c:pt>
                <c:pt idx="10">
                  <c:v>86.274509803921575</c:v>
                </c:pt>
                <c:pt idx="11">
                  <c:v>41.666666666666664</c:v>
                </c:pt>
                <c:pt idx="12">
                  <c:v>133.33333333333334</c:v>
                </c:pt>
                <c:pt idx="13">
                  <c:v>17.777777777777779</c:v>
                </c:pt>
                <c:pt idx="14">
                  <c:v>0</c:v>
                </c:pt>
                <c:pt idx="15">
                  <c:v>125</c:v>
                </c:pt>
                <c:pt idx="16">
                  <c:v>91.666666666666671</c:v>
                </c:pt>
                <c:pt idx="17">
                  <c:v>208.33333333333334</c:v>
                </c:pt>
                <c:pt idx="18">
                  <c:v>116.66666666666667</c:v>
                </c:pt>
                <c:pt idx="19">
                  <c:v>80.882352941176464</c:v>
                </c:pt>
                <c:pt idx="20">
                  <c:v>147.72727272727272</c:v>
                </c:pt>
                <c:pt idx="21">
                  <c:v>0</c:v>
                </c:pt>
                <c:pt idx="22">
                  <c:v>152.77777777777777</c:v>
                </c:pt>
                <c:pt idx="23">
                  <c:v>178.57142857142858</c:v>
                </c:pt>
                <c:pt idx="24">
                  <c:v>69.444444444444443</c:v>
                </c:pt>
                <c:pt idx="25">
                  <c:v>113.63636363636364</c:v>
                </c:pt>
                <c:pt idx="26">
                  <c:v>145.83333333333334</c:v>
                </c:pt>
                <c:pt idx="27">
                  <c:v>197.91666666666666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GRAFICAS!$AB$4:$AB$32</c:f>
              <c:numCache>
                <c:formatCode>"$"\ #,##0</c:formatCode>
                <c:ptCount val="28"/>
                <c:pt idx="0">
                  <c:v>0</c:v>
                </c:pt>
                <c:pt idx="1">
                  <c:v>4748.1533333333336</c:v>
                </c:pt>
                <c:pt idx="2">
                  <c:v>3732.7651515151515</c:v>
                </c:pt>
                <c:pt idx="3">
                  <c:v>3747.9793650793649</c:v>
                </c:pt>
                <c:pt idx="4">
                  <c:v>2896.65</c:v>
                </c:pt>
                <c:pt idx="5">
                  <c:v>4029.6759259259261</c:v>
                </c:pt>
                <c:pt idx="6">
                  <c:v>3415.6944444444443</c:v>
                </c:pt>
                <c:pt idx="7">
                  <c:v>0</c:v>
                </c:pt>
                <c:pt idx="8">
                  <c:v>3314.4259259259261</c:v>
                </c:pt>
                <c:pt idx="9">
                  <c:v>1834.9859649122807</c:v>
                </c:pt>
                <c:pt idx="10">
                  <c:v>2305.9705882352941</c:v>
                </c:pt>
                <c:pt idx="11">
                  <c:v>2339.7979166666669</c:v>
                </c:pt>
                <c:pt idx="12">
                  <c:v>3432.9355555555558</c:v>
                </c:pt>
                <c:pt idx="13">
                  <c:v>2265.1644444444446</c:v>
                </c:pt>
                <c:pt idx="14">
                  <c:v>0</c:v>
                </c:pt>
                <c:pt idx="15">
                  <c:v>3873.9756944444443</c:v>
                </c:pt>
                <c:pt idx="16">
                  <c:v>2261.71875</c:v>
                </c:pt>
                <c:pt idx="17">
                  <c:v>2397.78125</c:v>
                </c:pt>
                <c:pt idx="18">
                  <c:v>2745.5250000000001</c:v>
                </c:pt>
                <c:pt idx="19">
                  <c:v>2221.6636029411766</c:v>
                </c:pt>
                <c:pt idx="20">
                  <c:v>4173.076704545455</c:v>
                </c:pt>
                <c:pt idx="21">
                  <c:v>0</c:v>
                </c:pt>
                <c:pt idx="22">
                  <c:v>4786.760416666667</c:v>
                </c:pt>
                <c:pt idx="23">
                  <c:v>4312.2946428571431</c:v>
                </c:pt>
                <c:pt idx="24">
                  <c:v>3124.6493055555557</c:v>
                </c:pt>
                <c:pt idx="25">
                  <c:v>2749.6988636363635</c:v>
                </c:pt>
                <c:pt idx="26">
                  <c:v>3432.7482638888887</c:v>
                </c:pt>
                <c:pt idx="27">
                  <c:v>4258.471354166667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  <c:min val="-5000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FEBRERO.xlsx]GRAFICAS!TablaDinámica6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GRAFICAS!$AE$4:$AE$32</c:f>
              <c:numCache>
                <c:formatCode>#,##0</c:formatCode>
                <c:ptCount val="28"/>
                <c:pt idx="0">
                  <c:v>0</c:v>
                </c:pt>
                <c:pt idx="1">
                  <c:v>15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10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0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0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3-4FAB-8D98-F09374125810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GRAFICAS!$AF$4:$AF$32</c:f>
              <c:numCache>
                <c:formatCode>#,##0</c:formatCode>
                <c:ptCount val="28"/>
                <c:pt idx="0">
                  <c:v>0</c:v>
                </c:pt>
                <c:pt idx="1">
                  <c:v>2.5</c:v>
                </c:pt>
                <c:pt idx="2">
                  <c:v>7.5</c:v>
                </c:pt>
                <c:pt idx="3">
                  <c:v>0</c:v>
                </c:pt>
                <c:pt idx="4">
                  <c:v>10</c:v>
                </c:pt>
                <c:pt idx="5">
                  <c:v>5</c:v>
                </c:pt>
                <c:pt idx="6">
                  <c:v>10</c:v>
                </c:pt>
                <c:pt idx="7">
                  <c:v>5</c:v>
                </c:pt>
                <c:pt idx="8">
                  <c:v>10</c:v>
                </c:pt>
                <c:pt idx="9">
                  <c:v>5</c:v>
                </c:pt>
                <c:pt idx="10">
                  <c:v>10</c:v>
                </c:pt>
                <c:pt idx="11">
                  <c:v>10</c:v>
                </c:pt>
                <c:pt idx="12">
                  <c:v>5</c:v>
                </c:pt>
                <c:pt idx="13">
                  <c:v>10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10</c:v>
                </c:pt>
                <c:pt idx="23">
                  <c:v>5</c:v>
                </c:pt>
                <c:pt idx="24">
                  <c:v>10</c:v>
                </c:pt>
                <c:pt idx="25">
                  <c:v>5</c:v>
                </c:pt>
                <c:pt idx="26">
                  <c:v>10</c:v>
                </c:pt>
                <c:pt idx="2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3-4FAB-8D98-F09374125810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GRAFICAS!$AG$4:$AG$32</c:f>
              <c:numCache>
                <c:formatCode>#,##0</c:formatCode>
                <c:ptCount val="28"/>
                <c:pt idx="0">
                  <c:v>0</c:v>
                </c:pt>
                <c:pt idx="1">
                  <c:v>440</c:v>
                </c:pt>
                <c:pt idx="2">
                  <c:v>550</c:v>
                </c:pt>
                <c:pt idx="3">
                  <c:v>870</c:v>
                </c:pt>
                <c:pt idx="4">
                  <c:v>300</c:v>
                </c:pt>
                <c:pt idx="5">
                  <c:v>200</c:v>
                </c:pt>
                <c:pt idx="6">
                  <c:v>250</c:v>
                </c:pt>
                <c:pt idx="7">
                  <c:v>0</c:v>
                </c:pt>
                <c:pt idx="8">
                  <c:v>150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310</c:v>
                </c:pt>
                <c:pt idx="13">
                  <c:v>90</c:v>
                </c:pt>
                <c:pt idx="14">
                  <c:v>0</c:v>
                </c:pt>
                <c:pt idx="15">
                  <c:v>400</c:v>
                </c:pt>
                <c:pt idx="16">
                  <c:v>250</c:v>
                </c:pt>
                <c:pt idx="17">
                  <c:v>280</c:v>
                </c:pt>
                <c:pt idx="18">
                  <c:v>320</c:v>
                </c:pt>
                <c:pt idx="19">
                  <c:v>250</c:v>
                </c:pt>
                <c:pt idx="20">
                  <c:v>280</c:v>
                </c:pt>
                <c:pt idx="21">
                  <c:v>0</c:v>
                </c:pt>
                <c:pt idx="22">
                  <c:v>520</c:v>
                </c:pt>
                <c:pt idx="23">
                  <c:v>130</c:v>
                </c:pt>
                <c:pt idx="24">
                  <c:v>180</c:v>
                </c:pt>
                <c:pt idx="25">
                  <c:v>780</c:v>
                </c:pt>
                <c:pt idx="26">
                  <c:v>430</c:v>
                </c:pt>
                <c:pt idx="27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3-4FAB-8D98-F09374125810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GRAFICAS!$AH$4:$AH$32</c:f>
              <c:numCache>
                <c:formatCode>#,##0</c:formatCode>
                <c:ptCount val="28"/>
                <c:pt idx="0">
                  <c:v>0</c:v>
                </c:pt>
                <c:pt idx="1">
                  <c:v>820</c:v>
                </c:pt>
                <c:pt idx="2">
                  <c:v>760</c:v>
                </c:pt>
                <c:pt idx="3">
                  <c:v>780</c:v>
                </c:pt>
                <c:pt idx="4">
                  <c:v>530</c:v>
                </c:pt>
                <c:pt idx="5">
                  <c:v>790</c:v>
                </c:pt>
                <c:pt idx="6">
                  <c:v>500</c:v>
                </c:pt>
                <c:pt idx="7">
                  <c:v>0</c:v>
                </c:pt>
                <c:pt idx="8">
                  <c:v>700</c:v>
                </c:pt>
                <c:pt idx="9">
                  <c:v>330</c:v>
                </c:pt>
                <c:pt idx="10">
                  <c:v>320</c:v>
                </c:pt>
                <c:pt idx="11">
                  <c:v>400</c:v>
                </c:pt>
                <c:pt idx="12">
                  <c:v>500</c:v>
                </c:pt>
                <c:pt idx="13">
                  <c:v>490</c:v>
                </c:pt>
                <c:pt idx="14">
                  <c:v>0</c:v>
                </c:pt>
                <c:pt idx="15">
                  <c:v>860</c:v>
                </c:pt>
                <c:pt idx="16">
                  <c:v>300</c:v>
                </c:pt>
                <c:pt idx="17">
                  <c:v>0</c:v>
                </c:pt>
                <c:pt idx="18">
                  <c:v>370</c:v>
                </c:pt>
                <c:pt idx="19">
                  <c:v>380</c:v>
                </c:pt>
                <c:pt idx="20">
                  <c:v>500</c:v>
                </c:pt>
                <c:pt idx="21">
                  <c:v>160</c:v>
                </c:pt>
                <c:pt idx="22">
                  <c:v>390</c:v>
                </c:pt>
                <c:pt idx="23">
                  <c:v>700</c:v>
                </c:pt>
                <c:pt idx="24">
                  <c:v>780</c:v>
                </c:pt>
                <c:pt idx="25">
                  <c:v>520</c:v>
                </c:pt>
                <c:pt idx="26">
                  <c:v>600</c:v>
                </c:pt>
                <c:pt idx="2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FAB-8D98-F09374125810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GRAFICAS!$AI$4:$AI$32</c:f>
              <c:numCache>
                <c:formatCode>#,##0</c:formatCode>
                <c:ptCount val="28"/>
                <c:pt idx="0">
                  <c:v>0</c:v>
                </c:pt>
                <c:pt idx="1">
                  <c:v>170</c:v>
                </c:pt>
                <c:pt idx="2">
                  <c:v>290</c:v>
                </c:pt>
                <c:pt idx="3">
                  <c:v>250</c:v>
                </c:pt>
                <c:pt idx="4">
                  <c:v>200</c:v>
                </c:pt>
                <c:pt idx="5">
                  <c:v>210</c:v>
                </c:pt>
                <c:pt idx="6">
                  <c:v>60</c:v>
                </c:pt>
                <c:pt idx="7">
                  <c:v>0</c:v>
                </c:pt>
                <c:pt idx="8">
                  <c:v>140</c:v>
                </c:pt>
                <c:pt idx="9">
                  <c:v>80</c:v>
                </c:pt>
                <c:pt idx="10">
                  <c:v>110</c:v>
                </c:pt>
                <c:pt idx="11">
                  <c:v>50</c:v>
                </c:pt>
                <c:pt idx="12">
                  <c:v>150</c:v>
                </c:pt>
                <c:pt idx="13">
                  <c:v>20</c:v>
                </c:pt>
                <c:pt idx="14">
                  <c:v>0</c:v>
                </c:pt>
                <c:pt idx="15">
                  <c:v>180</c:v>
                </c:pt>
                <c:pt idx="16">
                  <c:v>110</c:v>
                </c:pt>
                <c:pt idx="17">
                  <c:v>200</c:v>
                </c:pt>
                <c:pt idx="18">
                  <c:v>140</c:v>
                </c:pt>
                <c:pt idx="19">
                  <c:v>110</c:v>
                </c:pt>
                <c:pt idx="20">
                  <c:v>130</c:v>
                </c:pt>
                <c:pt idx="21">
                  <c:v>0</c:v>
                </c:pt>
                <c:pt idx="22">
                  <c:v>110</c:v>
                </c:pt>
                <c:pt idx="23">
                  <c:v>200</c:v>
                </c:pt>
                <c:pt idx="24">
                  <c:v>100</c:v>
                </c:pt>
                <c:pt idx="25">
                  <c:v>200</c:v>
                </c:pt>
                <c:pt idx="26">
                  <c:v>210</c:v>
                </c:pt>
                <c:pt idx="27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GRAFICAS!$AJ$4:$AJ$32</c:f>
              <c:numCache>
                <c:formatCode>"$"\ #,##0</c:formatCode>
                <c:ptCount val="28"/>
                <c:pt idx="0">
                  <c:v>0</c:v>
                </c:pt>
                <c:pt idx="1">
                  <c:v>4748.1533333333336</c:v>
                </c:pt>
                <c:pt idx="2">
                  <c:v>3732.7651515151515</c:v>
                </c:pt>
                <c:pt idx="3">
                  <c:v>3747.9793650793649</c:v>
                </c:pt>
                <c:pt idx="4">
                  <c:v>2896.65</c:v>
                </c:pt>
                <c:pt idx="5">
                  <c:v>4029.6759259259261</c:v>
                </c:pt>
                <c:pt idx="6">
                  <c:v>3415.6944444444443</c:v>
                </c:pt>
                <c:pt idx="7">
                  <c:v>0</c:v>
                </c:pt>
                <c:pt idx="8">
                  <c:v>3314.4259259259261</c:v>
                </c:pt>
                <c:pt idx="9">
                  <c:v>1834.9859649122807</c:v>
                </c:pt>
                <c:pt idx="10">
                  <c:v>2305.9705882352941</c:v>
                </c:pt>
                <c:pt idx="11">
                  <c:v>2339.7979166666669</c:v>
                </c:pt>
                <c:pt idx="12">
                  <c:v>3432.9355555555558</c:v>
                </c:pt>
                <c:pt idx="13">
                  <c:v>2265.1644444444446</c:v>
                </c:pt>
                <c:pt idx="14">
                  <c:v>0</c:v>
                </c:pt>
                <c:pt idx="15">
                  <c:v>3873.9756944444443</c:v>
                </c:pt>
                <c:pt idx="16">
                  <c:v>2261.71875</c:v>
                </c:pt>
                <c:pt idx="17">
                  <c:v>2397.78125</c:v>
                </c:pt>
                <c:pt idx="18">
                  <c:v>2745.5250000000001</c:v>
                </c:pt>
                <c:pt idx="19">
                  <c:v>2221.6636029411766</c:v>
                </c:pt>
                <c:pt idx="20">
                  <c:v>4173.076704545455</c:v>
                </c:pt>
                <c:pt idx="21">
                  <c:v>0</c:v>
                </c:pt>
                <c:pt idx="22">
                  <c:v>4786.760416666667</c:v>
                </c:pt>
                <c:pt idx="23">
                  <c:v>4312.2946428571431</c:v>
                </c:pt>
                <c:pt idx="24">
                  <c:v>3124.6493055555557</c:v>
                </c:pt>
                <c:pt idx="25">
                  <c:v>2749.6988636363635</c:v>
                </c:pt>
                <c:pt idx="26">
                  <c:v>3432.7482638888887</c:v>
                </c:pt>
                <c:pt idx="27">
                  <c:v>4258.471354166667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FEBRERO.xlsx]GRAFICAS!TablaDinámica7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GRAFICAS!$AM$4:$AM$32</c:f>
              <c:numCache>
                <c:formatCode>#,##0</c:formatCode>
                <c:ptCount val="28"/>
                <c:pt idx="0">
                  <c:v>0</c:v>
                </c:pt>
                <c:pt idx="1">
                  <c:v>15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10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0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0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1DB-B0A9-2EB2E3A0ED31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GRAFICAS!$AN$4:$AN$32</c:f>
              <c:numCache>
                <c:formatCode>#,##0</c:formatCode>
                <c:ptCount val="28"/>
                <c:pt idx="0">
                  <c:v>0</c:v>
                </c:pt>
                <c:pt idx="1">
                  <c:v>2.5</c:v>
                </c:pt>
                <c:pt idx="2">
                  <c:v>7.5</c:v>
                </c:pt>
                <c:pt idx="3">
                  <c:v>0</c:v>
                </c:pt>
                <c:pt idx="4">
                  <c:v>10</c:v>
                </c:pt>
                <c:pt idx="5">
                  <c:v>5</c:v>
                </c:pt>
                <c:pt idx="6">
                  <c:v>10</c:v>
                </c:pt>
                <c:pt idx="7">
                  <c:v>5</c:v>
                </c:pt>
                <c:pt idx="8">
                  <c:v>10</c:v>
                </c:pt>
                <c:pt idx="9">
                  <c:v>5</c:v>
                </c:pt>
                <c:pt idx="10">
                  <c:v>10</c:v>
                </c:pt>
                <c:pt idx="11">
                  <c:v>10</c:v>
                </c:pt>
                <c:pt idx="12">
                  <c:v>5</c:v>
                </c:pt>
                <c:pt idx="13">
                  <c:v>10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10</c:v>
                </c:pt>
                <c:pt idx="23">
                  <c:v>5</c:v>
                </c:pt>
                <c:pt idx="24">
                  <c:v>10</c:v>
                </c:pt>
                <c:pt idx="25">
                  <c:v>5</c:v>
                </c:pt>
                <c:pt idx="26">
                  <c:v>10</c:v>
                </c:pt>
                <c:pt idx="2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1DB-B0A9-2EB2E3A0ED31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GRAFICAS!$AO$4:$AO$32</c:f>
              <c:numCache>
                <c:formatCode>#,##0</c:formatCode>
                <c:ptCount val="28"/>
                <c:pt idx="0">
                  <c:v>0</c:v>
                </c:pt>
                <c:pt idx="1">
                  <c:v>572</c:v>
                </c:pt>
                <c:pt idx="2">
                  <c:v>715</c:v>
                </c:pt>
                <c:pt idx="3">
                  <c:v>1131</c:v>
                </c:pt>
                <c:pt idx="4">
                  <c:v>390</c:v>
                </c:pt>
                <c:pt idx="5">
                  <c:v>260</c:v>
                </c:pt>
                <c:pt idx="6">
                  <c:v>325</c:v>
                </c:pt>
                <c:pt idx="7">
                  <c:v>0</c:v>
                </c:pt>
                <c:pt idx="8">
                  <c:v>195</c:v>
                </c:pt>
                <c:pt idx="9">
                  <c:v>351</c:v>
                </c:pt>
                <c:pt idx="10">
                  <c:v>390</c:v>
                </c:pt>
                <c:pt idx="11">
                  <c:v>429</c:v>
                </c:pt>
                <c:pt idx="12">
                  <c:v>403</c:v>
                </c:pt>
                <c:pt idx="13">
                  <c:v>117</c:v>
                </c:pt>
                <c:pt idx="14">
                  <c:v>0</c:v>
                </c:pt>
                <c:pt idx="15">
                  <c:v>520</c:v>
                </c:pt>
                <c:pt idx="16">
                  <c:v>325</c:v>
                </c:pt>
                <c:pt idx="17">
                  <c:v>364</c:v>
                </c:pt>
                <c:pt idx="18">
                  <c:v>416</c:v>
                </c:pt>
                <c:pt idx="19">
                  <c:v>325</c:v>
                </c:pt>
                <c:pt idx="20">
                  <c:v>364</c:v>
                </c:pt>
                <c:pt idx="21">
                  <c:v>0</c:v>
                </c:pt>
                <c:pt idx="22">
                  <c:v>676</c:v>
                </c:pt>
                <c:pt idx="23">
                  <c:v>169</c:v>
                </c:pt>
                <c:pt idx="24">
                  <c:v>234</c:v>
                </c:pt>
                <c:pt idx="25">
                  <c:v>1014</c:v>
                </c:pt>
                <c:pt idx="26">
                  <c:v>559</c:v>
                </c:pt>
                <c:pt idx="27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1DB-B0A9-2EB2E3A0ED31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GRAFICAS!$AP$4:$AP$32</c:f>
              <c:numCache>
                <c:formatCode>#,##0</c:formatCode>
                <c:ptCount val="28"/>
                <c:pt idx="0">
                  <c:v>0</c:v>
                </c:pt>
                <c:pt idx="1">
                  <c:v>1086.5</c:v>
                </c:pt>
                <c:pt idx="2">
                  <c:v>1007</c:v>
                </c:pt>
                <c:pt idx="3">
                  <c:v>1033.5</c:v>
                </c:pt>
                <c:pt idx="4">
                  <c:v>702.25</c:v>
                </c:pt>
                <c:pt idx="5">
                  <c:v>1046.75</c:v>
                </c:pt>
                <c:pt idx="6">
                  <c:v>662.5</c:v>
                </c:pt>
                <c:pt idx="7">
                  <c:v>0</c:v>
                </c:pt>
                <c:pt idx="8">
                  <c:v>927.5</c:v>
                </c:pt>
                <c:pt idx="9">
                  <c:v>437.25</c:v>
                </c:pt>
                <c:pt idx="10">
                  <c:v>424</c:v>
                </c:pt>
                <c:pt idx="11">
                  <c:v>530</c:v>
                </c:pt>
                <c:pt idx="12">
                  <c:v>662.5</c:v>
                </c:pt>
                <c:pt idx="13">
                  <c:v>649.25</c:v>
                </c:pt>
                <c:pt idx="14">
                  <c:v>0</c:v>
                </c:pt>
                <c:pt idx="15">
                  <c:v>1139.5</c:v>
                </c:pt>
                <c:pt idx="16">
                  <c:v>397.5</c:v>
                </c:pt>
                <c:pt idx="17">
                  <c:v>0</c:v>
                </c:pt>
                <c:pt idx="18">
                  <c:v>490.25</c:v>
                </c:pt>
                <c:pt idx="19">
                  <c:v>503.5</c:v>
                </c:pt>
                <c:pt idx="20">
                  <c:v>662.5</c:v>
                </c:pt>
                <c:pt idx="21">
                  <c:v>212</c:v>
                </c:pt>
                <c:pt idx="22">
                  <c:v>516.75</c:v>
                </c:pt>
                <c:pt idx="23">
                  <c:v>927.5</c:v>
                </c:pt>
                <c:pt idx="24">
                  <c:v>1033.5</c:v>
                </c:pt>
                <c:pt idx="25">
                  <c:v>689</c:v>
                </c:pt>
                <c:pt idx="26">
                  <c:v>795</c:v>
                </c:pt>
                <c:pt idx="27">
                  <c:v>662.5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8-41DB-B0A9-2EB2E3A0ED31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GRAFICAS!$AQ$4:$AQ$32</c:f>
              <c:numCache>
                <c:formatCode>#,##0</c:formatCode>
                <c:ptCount val="28"/>
                <c:pt idx="0">
                  <c:v>0</c:v>
                </c:pt>
                <c:pt idx="1">
                  <c:v>212.5</c:v>
                </c:pt>
                <c:pt idx="2">
                  <c:v>362.5</c:v>
                </c:pt>
                <c:pt idx="3">
                  <c:v>312.5</c:v>
                </c:pt>
                <c:pt idx="4">
                  <c:v>250</c:v>
                </c:pt>
                <c:pt idx="5">
                  <c:v>262.5</c:v>
                </c:pt>
                <c:pt idx="6">
                  <c:v>75</c:v>
                </c:pt>
                <c:pt idx="7">
                  <c:v>0</c:v>
                </c:pt>
                <c:pt idx="8">
                  <c:v>175</c:v>
                </c:pt>
                <c:pt idx="9">
                  <c:v>100</c:v>
                </c:pt>
                <c:pt idx="10">
                  <c:v>137.5</c:v>
                </c:pt>
                <c:pt idx="11">
                  <c:v>62.5</c:v>
                </c:pt>
                <c:pt idx="12">
                  <c:v>187.5</c:v>
                </c:pt>
                <c:pt idx="13">
                  <c:v>25</c:v>
                </c:pt>
                <c:pt idx="14">
                  <c:v>0</c:v>
                </c:pt>
                <c:pt idx="15">
                  <c:v>225</c:v>
                </c:pt>
                <c:pt idx="16">
                  <c:v>137.5</c:v>
                </c:pt>
                <c:pt idx="17">
                  <c:v>250</c:v>
                </c:pt>
                <c:pt idx="18">
                  <c:v>175</c:v>
                </c:pt>
                <c:pt idx="19">
                  <c:v>137.5</c:v>
                </c:pt>
                <c:pt idx="20">
                  <c:v>162.5</c:v>
                </c:pt>
                <c:pt idx="21">
                  <c:v>0</c:v>
                </c:pt>
                <c:pt idx="22">
                  <c:v>137.5</c:v>
                </c:pt>
                <c:pt idx="23">
                  <c:v>250</c:v>
                </c:pt>
                <c:pt idx="24">
                  <c:v>125</c:v>
                </c:pt>
                <c:pt idx="25">
                  <c:v>250</c:v>
                </c:pt>
                <c:pt idx="26">
                  <c:v>262.5</c:v>
                </c:pt>
                <c:pt idx="27">
                  <c:v>237.5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GRAFICAS!$AR$4:$AR$32</c:f>
              <c:numCache>
                <c:formatCode>"$"\ #,##0</c:formatCode>
                <c:ptCount val="28"/>
                <c:pt idx="0">
                  <c:v>0</c:v>
                </c:pt>
                <c:pt idx="1">
                  <c:v>4748.1533333333336</c:v>
                </c:pt>
                <c:pt idx="2">
                  <c:v>3732.7651515151515</c:v>
                </c:pt>
                <c:pt idx="3">
                  <c:v>3747.9793650793649</c:v>
                </c:pt>
                <c:pt idx="4">
                  <c:v>2896.65</c:v>
                </c:pt>
                <c:pt idx="5">
                  <c:v>4029.6759259259261</c:v>
                </c:pt>
                <c:pt idx="6">
                  <c:v>3415.6944444444443</c:v>
                </c:pt>
                <c:pt idx="7">
                  <c:v>0</c:v>
                </c:pt>
                <c:pt idx="8">
                  <c:v>3314.4259259259261</c:v>
                </c:pt>
                <c:pt idx="9">
                  <c:v>1834.9859649122807</c:v>
                </c:pt>
                <c:pt idx="10">
                  <c:v>2305.9705882352941</c:v>
                </c:pt>
                <c:pt idx="11">
                  <c:v>2339.7979166666669</c:v>
                </c:pt>
                <c:pt idx="12">
                  <c:v>3432.9355555555558</c:v>
                </c:pt>
                <c:pt idx="13">
                  <c:v>2265.1644444444446</c:v>
                </c:pt>
                <c:pt idx="14">
                  <c:v>0</c:v>
                </c:pt>
                <c:pt idx="15">
                  <c:v>3873.9756944444443</c:v>
                </c:pt>
                <c:pt idx="16">
                  <c:v>2261.71875</c:v>
                </c:pt>
                <c:pt idx="17">
                  <c:v>2397.78125</c:v>
                </c:pt>
                <c:pt idx="18">
                  <c:v>2745.5250000000001</c:v>
                </c:pt>
                <c:pt idx="19">
                  <c:v>2221.6636029411766</c:v>
                </c:pt>
                <c:pt idx="20">
                  <c:v>4173.076704545455</c:v>
                </c:pt>
                <c:pt idx="21">
                  <c:v>0</c:v>
                </c:pt>
                <c:pt idx="22">
                  <c:v>4786.760416666667</c:v>
                </c:pt>
                <c:pt idx="23">
                  <c:v>4312.2946428571431</c:v>
                </c:pt>
                <c:pt idx="24">
                  <c:v>3124.6493055555557</c:v>
                </c:pt>
                <c:pt idx="25">
                  <c:v>2749.6988636363635</c:v>
                </c:pt>
                <c:pt idx="26">
                  <c:v>3432.7482638888887</c:v>
                </c:pt>
                <c:pt idx="27">
                  <c:v>4258.471354166667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FEBRERO.xlsx]GRAFICAS!TablaDinámica10</c:name>
    <c:fmtId val="1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GRAFICAS!$AV$4:$AV$32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422.00888888888886</c:v>
                </c:pt>
                <c:pt idx="2">
                  <c:v>359.66666666666669</c:v>
                </c:pt>
                <c:pt idx="3">
                  <c:v>596.01904761904757</c:v>
                </c:pt>
                <c:pt idx="4">
                  <c:v>215.8</c:v>
                </c:pt>
                <c:pt idx="5">
                  <c:v>159.85185185185185</c:v>
                </c:pt>
                <c:pt idx="6">
                  <c:v>299.72222222222223</c:v>
                </c:pt>
                <c:pt idx="7">
                  <c:v>0</c:v>
                </c:pt>
                <c:pt idx="8">
                  <c:v>119.88888888888889</c:v>
                </c:pt>
                <c:pt idx="9">
                  <c:v>204.44210526315788</c:v>
                </c:pt>
                <c:pt idx="10">
                  <c:v>253.88235294117646</c:v>
                </c:pt>
                <c:pt idx="11">
                  <c:v>296.72500000000002</c:v>
                </c:pt>
                <c:pt idx="12">
                  <c:v>297.32444444444445</c:v>
                </c:pt>
                <c:pt idx="13">
                  <c:v>86.32</c:v>
                </c:pt>
                <c:pt idx="14">
                  <c:v>0</c:v>
                </c:pt>
                <c:pt idx="15">
                  <c:v>299.72222222222223</c:v>
                </c:pt>
                <c:pt idx="16">
                  <c:v>224.79166666666666</c:v>
                </c:pt>
                <c:pt idx="17">
                  <c:v>314.70833333333331</c:v>
                </c:pt>
                <c:pt idx="18">
                  <c:v>287.73333333333335</c:v>
                </c:pt>
                <c:pt idx="19">
                  <c:v>198.34558823529412</c:v>
                </c:pt>
                <c:pt idx="20">
                  <c:v>343.31818181818181</c:v>
                </c:pt>
                <c:pt idx="21">
                  <c:v>0</c:v>
                </c:pt>
                <c:pt idx="22">
                  <c:v>779.27777777777783</c:v>
                </c:pt>
                <c:pt idx="23">
                  <c:v>125.24107142857143</c:v>
                </c:pt>
                <c:pt idx="24">
                  <c:v>134.875</c:v>
                </c:pt>
                <c:pt idx="25">
                  <c:v>478.19318181818181</c:v>
                </c:pt>
                <c:pt idx="26">
                  <c:v>322.20138888888891</c:v>
                </c:pt>
                <c:pt idx="27">
                  <c:v>370.90625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4D75-86BD-3E1E0854316B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GRAFICAS!$AW$4:$AW$32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2800.7555555555555</c:v>
                </c:pt>
                <c:pt idx="2">
                  <c:v>1769.878787878788</c:v>
                </c:pt>
                <c:pt idx="3">
                  <c:v>1902.952380952381</c:v>
                </c:pt>
                <c:pt idx="4">
                  <c:v>1357.6833333333334</c:v>
                </c:pt>
                <c:pt idx="5">
                  <c:v>2248.5740740740739</c:v>
                </c:pt>
                <c:pt idx="6">
                  <c:v>2134.7222222222222</c:v>
                </c:pt>
                <c:pt idx="7">
                  <c:v>0</c:v>
                </c:pt>
                <c:pt idx="8">
                  <c:v>1992.4074074074074</c:v>
                </c:pt>
                <c:pt idx="9">
                  <c:v>889.84210526315792</c:v>
                </c:pt>
                <c:pt idx="10">
                  <c:v>964.39215686274508</c:v>
                </c:pt>
                <c:pt idx="11">
                  <c:v>1280.8333333333333</c:v>
                </c:pt>
                <c:pt idx="12">
                  <c:v>1707.7777777777778</c:v>
                </c:pt>
                <c:pt idx="13">
                  <c:v>1673.6222222222223</c:v>
                </c:pt>
                <c:pt idx="14">
                  <c:v>0</c:v>
                </c:pt>
                <c:pt idx="15">
                  <c:v>2294.8263888888887</c:v>
                </c:pt>
                <c:pt idx="16">
                  <c:v>960.625</c:v>
                </c:pt>
                <c:pt idx="17">
                  <c:v>0</c:v>
                </c:pt>
                <c:pt idx="18">
                  <c:v>1184.7708333333333</c:v>
                </c:pt>
                <c:pt idx="19">
                  <c:v>1073.6397058823529</c:v>
                </c:pt>
                <c:pt idx="20">
                  <c:v>2183.2386363636365</c:v>
                </c:pt>
                <c:pt idx="21">
                  <c:v>0</c:v>
                </c:pt>
                <c:pt idx="22">
                  <c:v>2081.3541666666665</c:v>
                </c:pt>
                <c:pt idx="23">
                  <c:v>2401.5625</c:v>
                </c:pt>
                <c:pt idx="24">
                  <c:v>2081.3541666666665</c:v>
                </c:pt>
                <c:pt idx="25">
                  <c:v>1135.284090909091</c:v>
                </c:pt>
                <c:pt idx="26">
                  <c:v>1601.0416666666667</c:v>
                </c:pt>
                <c:pt idx="27">
                  <c:v>2001.3020833333333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D75-86BD-3E1E0854316B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GRAFICAS!$AX$4:$AX$32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1189.0555555555557</c:v>
                </c:pt>
                <c:pt idx="2">
                  <c:v>1382.9924242424242</c:v>
                </c:pt>
                <c:pt idx="3">
                  <c:v>1249.0079365079366</c:v>
                </c:pt>
                <c:pt idx="4">
                  <c:v>1049.1666666666667</c:v>
                </c:pt>
                <c:pt idx="5">
                  <c:v>1224.0277777777778</c:v>
                </c:pt>
                <c:pt idx="6">
                  <c:v>524.58333333333337</c:v>
                </c:pt>
                <c:pt idx="7">
                  <c:v>0</c:v>
                </c:pt>
                <c:pt idx="8">
                  <c:v>816.01851851851848</c:v>
                </c:pt>
                <c:pt idx="9">
                  <c:v>441.75438596491227</c:v>
                </c:pt>
                <c:pt idx="10">
                  <c:v>678.87254901960785</c:v>
                </c:pt>
                <c:pt idx="11">
                  <c:v>327.86458333333331</c:v>
                </c:pt>
                <c:pt idx="12">
                  <c:v>1049.1666666666667</c:v>
                </c:pt>
                <c:pt idx="13">
                  <c:v>139.88888888888889</c:v>
                </c:pt>
                <c:pt idx="14">
                  <c:v>0</c:v>
                </c:pt>
                <c:pt idx="15">
                  <c:v>983.59375</c:v>
                </c:pt>
                <c:pt idx="16">
                  <c:v>721.30208333333337</c:v>
                </c:pt>
                <c:pt idx="17">
                  <c:v>1639.3229166666667</c:v>
                </c:pt>
                <c:pt idx="18">
                  <c:v>918.02083333333337</c:v>
                </c:pt>
                <c:pt idx="19">
                  <c:v>636.44301470588232</c:v>
                </c:pt>
                <c:pt idx="20">
                  <c:v>1162.4289772727273</c:v>
                </c:pt>
                <c:pt idx="21">
                  <c:v>0</c:v>
                </c:pt>
                <c:pt idx="22">
                  <c:v>1202.1701388888889</c:v>
                </c:pt>
                <c:pt idx="23">
                  <c:v>1405.1339285714287</c:v>
                </c:pt>
                <c:pt idx="24">
                  <c:v>546.44097222222217</c:v>
                </c:pt>
                <c:pt idx="25">
                  <c:v>894.17613636363637</c:v>
                </c:pt>
                <c:pt idx="26">
                  <c:v>1147.5260416666667</c:v>
                </c:pt>
                <c:pt idx="27">
                  <c:v>1557.3567708333333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D75-86BD-3E1E0854316B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GRAFICAS!$AY$4:$AY$32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42.333333333333336</c:v>
                </c:pt>
                <c:pt idx="2">
                  <c:v>86.590909090909093</c:v>
                </c:pt>
                <c:pt idx="3">
                  <c:v>0</c:v>
                </c:pt>
                <c:pt idx="4">
                  <c:v>127</c:v>
                </c:pt>
                <c:pt idx="5">
                  <c:v>70.555555555555557</c:v>
                </c:pt>
                <c:pt idx="6">
                  <c:v>211.66666666666666</c:v>
                </c:pt>
                <c:pt idx="7">
                  <c:v>0</c:v>
                </c:pt>
                <c:pt idx="8">
                  <c:v>141.11111111111111</c:v>
                </c:pt>
                <c:pt idx="9">
                  <c:v>66.84210526315789</c:v>
                </c:pt>
                <c:pt idx="10">
                  <c:v>149.41176470588235</c:v>
                </c:pt>
                <c:pt idx="11">
                  <c:v>158.75</c:v>
                </c:pt>
                <c:pt idx="12">
                  <c:v>84.666666666666671</c:v>
                </c:pt>
                <c:pt idx="13">
                  <c:v>169.33333333333334</c:v>
                </c:pt>
                <c:pt idx="14">
                  <c:v>0</c:v>
                </c:pt>
                <c:pt idx="15">
                  <c:v>66.145833333333329</c:v>
                </c:pt>
                <c:pt idx="16">
                  <c:v>79.375</c:v>
                </c:pt>
                <c:pt idx="17">
                  <c:v>99.21875</c:v>
                </c:pt>
                <c:pt idx="18">
                  <c:v>79.375</c:v>
                </c:pt>
                <c:pt idx="19">
                  <c:v>70.036764705882348</c:v>
                </c:pt>
                <c:pt idx="20">
                  <c:v>108.23863636363636</c:v>
                </c:pt>
                <c:pt idx="21">
                  <c:v>0</c:v>
                </c:pt>
                <c:pt idx="22">
                  <c:v>264.58333333333331</c:v>
                </c:pt>
                <c:pt idx="23">
                  <c:v>85.044642857142861</c:v>
                </c:pt>
                <c:pt idx="24">
                  <c:v>132.29166666666666</c:v>
                </c:pt>
                <c:pt idx="25">
                  <c:v>54.11931818181818</c:v>
                </c:pt>
                <c:pt idx="26">
                  <c:v>132.29166666666666</c:v>
                </c:pt>
                <c:pt idx="27">
                  <c:v>99.21875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D75-86BD-3E1E0854316B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GRAFICAS!$AZ$4:$AZ$32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294</c:v>
                </c:pt>
                <c:pt idx="2">
                  <c:v>133.63636363636363</c:v>
                </c:pt>
                <c:pt idx="3">
                  <c:v>0</c:v>
                </c:pt>
                <c:pt idx="4">
                  <c:v>147</c:v>
                </c:pt>
                <c:pt idx="5">
                  <c:v>326.66666666666669</c:v>
                </c:pt>
                <c:pt idx="6">
                  <c:v>245</c:v>
                </c:pt>
                <c:pt idx="7">
                  <c:v>0</c:v>
                </c:pt>
                <c:pt idx="8">
                  <c:v>245</c:v>
                </c:pt>
                <c:pt idx="9">
                  <c:v>232.10526315789474</c:v>
                </c:pt>
                <c:pt idx="10">
                  <c:v>259.41176470588238</c:v>
                </c:pt>
                <c:pt idx="11">
                  <c:v>275.625</c:v>
                </c:pt>
                <c:pt idx="12">
                  <c:v>294</c:v>
                </c:pt>
                <c:pt idx="13">
                  <c:v>196</c:v>
                </c:pt>
                <c:pt idx="14">
                  <c:v>0</c:v>
                </c:pt>
                <c:pt idx="15">
                  <c:v>229.6875</c:v>
                </c:pt>
                <c:pt idx="16">
                  <c:v>275.625</c:v>
                </c:pt>
                <c:pt idx="17">
                  <c:v>344.53125</c:v>
                </c:pt>
                <c:pt idx="18">
                  <c:v>275.625</c:v>
                </c:pt>
                <c:pt idx="19">
                  <c:v>243.1985294117647</c:v>
                </c:pt>
                <c:pt idx="20">
                  <c:v>375.85227272727275</c:v>
                </c:pt>
                <c:pt idx="21">
                  <c:v>0</c:v>
                </c:pt>
                <c:pt idx="22">
                  <c:v>459.375</c:v>
                </c:pt>
                <c:pt idx="23">
                  <c:v>295.3125</c:v>
                </c:pt>
                <c:pt idx="24">
                  <c:v>229.6875</c:v>
                </c:pt>
                <c:pt idx="25">
                  <c:v>187.92613636363637</c:v>
                </c:pt>
                <c:pt idx="26">
                  <c:v>229.6875</c:v>
                </c:pt>
                <c:pt idx="27">
                  <c:v>229.6875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GRAFICAS!$AU$4:$AU$32</c:f>
              <c:numCache>
                <c:formatCode>_-"$"\ * #,##0_-;\-"$"\ * #,##0_-;_-"$"\ * "-"??_-;_-@_-</c:formatCode>
                <c:ptCount val="28"/>
                <c:pt idx="0">
                  <c:v>0</c:v>
                </c:pt>
                <c:pt idx="1">
                  <c:v>4748.1533333333336</c:v>
                </c:pt>
                <c:pt idx="2">
                  <c:v>3732.7651515151515</c:v>
                </c:pt>
                <c:pt idx="3">
                  <c:v>3747.9793650793649</c:v>
                </c:pt>
                <c:pt idx="4">
                  <c:v>2896.65</c:v>
                </c:pt>
                <c:pt idx="5">
                  <c:v>4029.6759259259261</c:v>
                </c:pt>
                <c:pt idx="6">
                  <c:v>3415.6944444444443</c:v>
                </c:pt>
                <c:pt idx="7">
                  <c:v>0</c:v>
                </c:pt>
                <c:pt idx="8">
                  <c:v>3314.4259259259261</c:v>
                </c:pt>
                <c:pt idx="9">
                  <c:v>1834.9859649122807</c:v>
                </c:pt>
                <c:pt idx="10">
                  <c:v>2305.9705882352941</c:v>
                </c:pt>
                <c:pt idx="11">
                  <c:v>2339.7979166666669</c:v>
                </c:pt>
                <c:pt idx="12">
                  <c:v>3432.9355555555558</c:v>
                </c:pt>
                <c:pt idx="13">
                  <c:v>2265.1644444444446</c:v>
                </c:pt>
                <c:pt idx="14">
                  <c:v>0</c:v>
                </c:pt>
                <c:pt idx="15">
                  <c:v>3873.9756944444443</c:v>
                </c:pt>
                <c:pt idx="16">
                  <c:v>2261.71875</c:v>
                </c:pt>
                <c:pt idx="17">
                  <c:v>2397.78125</c:v>
                </c:pt>
                <c:pt idx="18">
                  <c:v>2745.5250000000001</c:v>
                </c:pt>
                <c:pt idx="19">
                  <c:v>2221.6636029411766</c:v>
                </c:pt>
                <c:pt idx="20">
                  <c:v>4173.076704545455</c:v>
                </c:pt>
                <c:pt idx="21">
                  <c:v>0</c:v>
                </c:pt>
                <c:pt idx="22">
                  <c:v>4786.760416666667</c:v>
                </c:pt>
                <c:pt idx="23">
                  <c:v>4312.2946428571431</c:v>
                </c:pt>
                <c:pt idx="24">
                  <c:v>3124.6493055555557</c:v>
                </c:pt>
                <c:pt idx="25">
                  <c:v>2749.6988636363635</c:v>
                </c:pt>
                <c:pt idx="26">
                  <c:v>3432.7482638888887</c:v>
                </c:pt>
                <c:pt idx="27">
                  <c:v>4258.471354166667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718917</xdr:colOff>
      <xdr:row>2</xdr:row>
      <xdr:rowOff>197239</xdr:rowOff>
    </xdr:from>
    <xdr:to>
      <xdr:col>15</xdr:col>
      <xdr:colOff>346699</xdr:colOff>
      <xdr:row>16</xdr:row>
      <xdr:rowOff>139202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172011</xdr:colOff>
      <xdr:row>3</xdr:row>
      <xdr:rowOff>233788</xdr:rowOff>
    </xdr:from>
    <xdr:to>
      <xdr:col>1</xdr:col>
      <xdr:colOff>556128</xdr:colOff>
      <xdr:row>11</xdr:row>
      <xdr:rowOff>212027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1731"/>
              <a:ext cx="1821031" cy="2729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45522</xdr:colOff>
      <xdr:row>25</xdr:row>
      <xdr:rowOff>160070</xdr:rowOff>
    </xdr:from>
    <xdr:to>
      <xdr:col>1</xdr:col>
      <xdr:colOff>439164</xdr:colOff>
      <xdr:row>34</xdr:row>
      <xdr:rowOff>19818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7486156"/>
              <a:ext cx="1830556" cy="24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3698423" y="8118022"/>
          <a:ext cx="680357" cy="180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415EE2-C4D1-4267-8BDC-C9E3FAE4C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5D8E2-0636-E962-1087-6151E269D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478675</xdr:colOff>
      <xdr:row>3</xdr:row>
      <xdr:rowOff>35329</xdr:rowOff>
    </xdr:from>
    <xdr:to>
      <xdr:col>34</xdr:col>
      <xdr:colOff>187729</xdr:colOff>
      <xdr:row>10</xdr:row>
      <xdr:rowOff>209204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AE67D4CD-66D2-6084-32BC-216E36EA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3220" y="9912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0.12177</cdr:x>
      <cdr:y>0.58317</cdr:y>
    </cdr:from>
    <cdr:to>
      <cdr:x>0.18526</cdr:x>
      <cdr:y>0.6411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2411046" y="2462735"/>
          <a:ext cx="1257102" cy="244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$4.975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160020</xdr:rowOff>
    </xdr:from>
    <xdr:to>
      <xdr:col>14</xdr:col>
      <xdr:colOff>365760</xdr:colOff>
      <xdr:row>20</xdr:row>
      <xdr:rowOff>58877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9384C-F28C-A940-E456-4C905C64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3D6F98-0F18-E56A-A055-3BB5ADDA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3F56E2-85DA-6F19-7DDB-227336D97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784489</xdr:colOff>
      <xdr:row>50</xdr:row>
      <xdr:rowOff>56063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>
              <a:extLst>
                <a:ext uri="{FF2B5EF4-FFF2-40B4-BE49-F238E27FC236}">
                  <a16:creationId xmlns:a16="http://schemas.microsoft.com/office/drawing/2014/main" id="{9CD43253-6C5E-5C96-F74F-5108852ADA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5925" y="7390040"/>
              <a:ext cx="1836864" cy="2476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05EE5-A324-40FF-AC05-C3A0CAA0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86</xdr:row>
      <xdr:rowOff>114300</xdr:rowOff>
    </xdr:from>
    <xdr:to>
      <xdr:col>13</xdr:col>
      <xdr:colOff>354334</xdr:colOff>
      <xdr:row>102</xdr:row>
      <xdr:rowOff>68221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E4286E-372C-B052-D4DE-91A91140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310360"/>
          <a:ext cx="10389874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25</xdr:row>
      <xdr:rowOff>53340</xdr:rowOff>
    </xdr:from>
    <xdr:to>
      <xdr:col>10</xdr:col>
      <xdr:colOff>170256</xdr:colOff>
      <xdr:row>66</xdr:row>
      <xdr:rowOff>115259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C5D5E83-584F-B29B-4540-D7C7455C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1" y="716280"/>
          <a:ext cx="8064575" cy="75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292249</xdr:colOff>
      <xdr:row>26</xdr:row>
      <xdr:rowOff>8965</xdr:rowOff>
    </xdr:from>
    <xdr:to>
      <xdr:col>13</xdr:col>
      <xdr:colOff>641020</xdr:colOff>
      <xdr:row>50</xdr:row>
      <xdr:rowOff>173018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F03578E-7EC5-26AA-B41F-3481144D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190" y="842683"/>
          <a:ext cx="2715454" cy="446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68</xdr:row>
      <xdr:rowOff>121920</xdr:rowOff>
    </xdr:from>
    <xdr:to>
      <xdr:col>13</xdr:col>
      <xdr:colOff>207222</xdr:colOff>
      <xdr:row>84</xdr:row>
      <xdr:rowOff>75840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859E55-BE50-3302-06AF-E5B1186E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1" y="11026140"/>
          <a:ext cx="10128461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76200</xdr:rowOff>
    </xdr:from>
    <xdr:to>
      <xdr:col>13</xdr:col>
      <xdr:colOff>652406</xdr:colOff>
      <xdr:row>115</xdr:row>
      <xdr:rowOff>71718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2C4D51-4794-A26B-F396-4380162F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259800"/>
          <a:ext cx="10908030" cy="3052482"/>
        </a:xfrm>
        <a:prstGeom prst="rect">
          <a:avLst/>
        </a:prstGeom>
      </xdr:spPr>
    </xdr:pic>
    <xdr:clientData/>
  </xdr:twoCellAnchor>
  <xdr:twoCellAnchor editAs="oneCell">
    <xdr:from>
      <xdr:col>2</xdr:col>
      <xdr:colOff>260425</xdr:colOff>
      <xdr:row>115</xdr:row>
      <xdr:rowOff>149262</xdr:rowOff>
    </xdr:from>
    <xdr:to>
      <xdr:col>11</xdr:col>
      <xdr:colOff>597845</xdr:colOff>
      <xdr:row>118</xdr:row>
      <xdr:rowOff>259976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C43824A-551E-4872-0C44-5A37D7B1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213" y="23394744"/>
          <a:ext cx="7437467" cy="944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690284</xdr:colOff>
      <xdr:row>9</xdr:row>
      <xdr:rowOff>35859</xdr:rowOff>
    </xdr:from>
    <xdr:to>
      <xdr:col>13</xdr:col>
      <xdr:colOff>98611</xdr:colOff>
      <xdr:row>11</xdr:row>
      <xdr:rowOff>82880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DD8705-8870-5231-BF02-83B6F9D5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1437" y="2142565"/>
          <a:ext cx="3352798" cy="513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537882</xdr:colOff>
      <xdr:row>9</xdr:row>
      <xdr:rowOff>53784</xdr:rowOff>
    </xdr:from>
    <xdr:to>
      <xdr:col>6</xdr:col>
      <xdr:colOff>210240</xdr:colOff>
      <xdr:row>11</xdr:row>
      <xdr:rowOff>143434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527AEA-890C-F649-6C6F-3C896CDA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5670" y="2160490"/>
          <a:ext cx="2827935" cy="555815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</xdr:colOff>
      <xdr:row>2</xdr:row>
      <xdr:rowOff>170330</xdr:rowOff>
    </xdr:from>
    <xdr:to>
      <xdr:col>13</xdr:col>
      <xdr:colOff>540558</xdr:colOff>
      <xdr:row>8</xdr:row>
      <xdr:rowOff>211835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122DA9F-E192-A69C-E794-DE42FE5F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" y="645459"/>
          <a:ext cx="10733430" cy="14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179295</xdr:colOff>
      <xdr:row>13</xdr:row>
      <xdr:rowOff>116541</xdr:rowOff>
    </xdr:from>
    <xdr:to>
      <xdr:col>13</xdr:col>
      <xdr:colOff>326327</xdr:colOff>
      <xdr:row>18</xdr:row>
      <xdr:rowOff>256658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D917EBF-72B0-9C00-AEC3-74716E33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5" y="3182470"/>
          <a:ext cx="10402656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466165</xdr:colOff>
      <xdr:row>19</xdr:row>
      <xdr:rowOff>152400</xdr:rowOff>
    </xdr:from>
    <xdr:to>
      <xdr:col>6</xdr:col>
      <xdr:colOff>582705</xdr:colOff>
      <xdr:row>21</xdr:row>
      <xdr:rowOff>244507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F82A822-91A5-6BF3-2AD7-7DD9463A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953" y="4778188"/>
          <a:ext cx="3272117" cy="61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555812</xdr:colOff>
      <xdr:row>19</xdr:row>
      <xdr:rowOff>233082</xdr:rowOff>
    </xdr:from>
    <xdr:to>
      <xdr:col>12</xdr:col>
      <xdr:colOff>726142</xdr:colOff>
      <xdr:row>21</xdr:row>
      <xdr:rowOff>253187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CDEE7B-585C-3D98-647D-D4B1CC07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965" y="4858870"/>
          <a:ext cx="3325906" cy="54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0.584264699071" createdVersion="8" refreshedVersion="8" minRefreshableVersion="3" recordCount="93" xr:uid="{C3C8AE66-DB41-4ED1-9375-F4773019D99D}">
  <cacheSource type="worksheet">
    <worksheetSource name="Tabla1"/>
  </cacheSource>
  <cacheFields count="63">
    <cacheField name="FECHA" numFmtId="14">
      <sharedItems containsSemiMixedTypes="0" containsNonDate="0" containsDate="1" containsString="0" minDate="2024-09-01T00:00:00" maxDate="2026-03-04T00:00:00" count="488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57"/>
    </cacheField>
    <cacheField name="DIA" numFmtId="1">
      <sharedItems containsSemiMixedTypes="0" containsString="0" containsNumb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93"/>
    </cacheField>
    <cacheField name="DILIGENCIAR BITACORA" numFmtId="3">
      <sharedItems/>
    </cacheField>
    <cacheField name="FINAL ACIDO (L)" numFmtId="3">
      <sharedItems containsString="0" containsBlank="1" containsNumber="1" containsInteger="1" minValue="100" maxValue="4360"/>
    </cacheField>
    <cacheField name="FINAL COAGULANTE (L)" numFmtId="3">
      <sharedItems containsString="0" containsBlank="1" containsNumber="1" containsInteger="1" minValue="1700" maxValue="6800"/>
    </cacheField>
    <cacheField name="FINAL DECOLORANTE (L)" numFmtId="3">
      <sharedItems containsString="0" containsBlank="1" containsNumber="1" containsInteger="1" minValue="330" maxValue="2810"/>
    </cacheField>
    <cacheField name="FINAL POL ANIONICO (KG)" numFmtId="3">
      <sharedItems containsString="0" containsBlank="1" containsNumber="1" minValue="40" maxValue="165"/>
    </cacheField>
    <cacheField name="FINAL POL CATIONICO (KG)" numFmtId="3">
      <sharedItems containsString="0" containsBlank="1" containsNumber="1" containsInteger="1" minValue="0" maxValue="295"/>
    </cacheField>
    <cacheField name="Lectura Horometro INICIAL (06:00)" numFmtId="3">
      <sharedItems containsString="0" containsBlank="1" containsNumber="1" containsInteger="1" minValue="16839" maxValue="17228"/>
    </cacheField>
    <cacheField name="CAUDAL TOTAL TRATADO GEM " numFmtId="3">
      <sharedItems containsSemiMixedTypes="0" containsString="0" containsNumber="1" containsInteger="1" minValue="-1378240" maxValue="640"/>
    </cacheField>
    <cacheField name="CAUDAL DE TRATAMIENTO" numFmtId="3">
      <sharedItems containsSemiMixedTypes="0" containsString="0" containsNumber="1" containsInteger="1" minValue="75" maxValue="80"/>
    </cacheField>
    <cacheField name="CONSUMO LITROS ACIDO (L)" numFmtId="3">
      <sharedItems containsSemiMixedTypes="0" containsString="0" containsNumber="1" containsInteger="1" minValue="0" maxValue="420"/>
    </cacheField>
    <cacheField name="CONSUMO LITROS COAGULANTE (L)" numFmtId="3">
      <sharedItems containsSemiMixedTypes="0" containsString="0" containsNumber="1" containsInteger="1" minValue="0" maxValue="4200"/>
    </cacheField>
    <cacheField name="CONSUMO LITROS DECOLORANTE (L)" numFmtId="3">
      <sharedItems containsSemiMixedTypes="0" containsString="0" containsNumber="1" containsInteger="1" minValue="0" maxValue="1900"/>
    </cacheField>
    <cacheField name="CONSUMO POL ANIONICO (KG)" numFmtId="3">
      <sharedItems containsSemiMixedTypes="0" containsString="0" containsNumber="1" minValue="0" maxValue="40"/>
    </cacheField>
    <cacheField name="CONSUMO POL CATIONICO (KG)" numFmtId="3">
      <sharedItems containsSemiMixedTypes="0" containsString="0" containsNumber="1" containsInteger="1" minValue="0" maxValue="155"/>
    </cacheField>
    <cacheField name="KG ACIDO" numFmtId="3">
      <sharedItems containsSemiMixedTypes="0" containsString="0" containsNumber="1" containsInteger="1" minValue="0" maxValue="546"/>
    </cacheField>
    <cacheField name="KG COAGULANTE" numFmtId="3">
      <sharedItems containsSemiMixedTypes="0" containsString="0" containsNumber="1" minValue="0" maxValue="5565"/>
    </cacheField>
    <cacheField name="KG DECOLORANTE " numFmtId="3">
      <sharedItems containsSemiMixedTypes="0" containsString="0" containsNumber="1" minValue="0" maxValue="2375"/>
    </cacheField>
    <cacheField name="KG POL ANIONICO " numFmtId="3">
      <sharedItems containsSemiMixedTypes="0" containsString="0" containsNumber="1" minValue="0" maxValue="40"/>
    </cacheField>
    <cacheField name="KG POL CATIONICO " numFmtId="3">
      <sharedItems containsSemiMixedTypes="0" containsString="0" containsNumber="1" containsInteger="1" minValue="0" maxValue="155"/>
    </cacheField>
    <cacheField name="PPM ACIDO " numFmtId="3">
      <sharedItems containsMixedTypes="1" containsNumber="1" minValue="0" maxValue="1473.3333333333333"/>
    </cacheField>
    <cacheField name="PPM COAGULANTE " numFmtId="3">
      <sharedItems containsMixedTypes="1" containsNumber="1" minValue="0" maxValue="1766.6666666666667"/>
    </cacheField>
    <cacheField name="PPM DECOLORANTE " numFmtId="3">
      <sharedItems containsMixedTypes="1" containsNumber="1" minValue="0" maxValue="468.75"/>
    </cacheField>
    <cacheField name="PPM POL ANIONICO " numFmtId="3">
      <sharedItems containsMixedTypes="1" containsNumber="1" minValue="0" maxValue="22.222222222222221"/>
    </cacheField>
    <cacheField name="PPM POL CATIONICO" numFmtId="3">
      <sharedItems containsMixedTypes="1" containsNumber="1" minValue="0" maxValue="31.25"/>
    </cacheField>
    <cacheField name="DENSIDAD ACIDO" numFmtId="169">
      <sharedItems containsSemiMixedTypes="0" containsString="0" containsNumber="1" minValue="1.3" maxValue="1.3"/>
    </cacheField>
    <cacheField name="DENSIDAD COAGULANTE" numFmtId="169">
      <sharedItems containsSemiMixedTypes="0" containsString="0" containsNumber="1" minValue="1.325" maxValue="1.325"/>
    </cacheField>
    <cacheField name="DENSIDAD DECOLORANTE" numFmtId="169">
      <sharedItems containsSemiMixedTypes="0" containsString="0" containsNumber="1" minValue="1.25" maxValue="1.25"/>
    </cacheField>
    <cacheField name="DENSIDAD ANIONICO" numFmtId="3">
      <sharedItems containsSemiMixedTypes="0" containsString="0" containsNumber="1" containsInteger="1" minValue="2500" maxValue="2500"/>
    </cacheField>
    <cacheField name="DENSIDAD CATIONICO" numFmtId="3">
      <sharedItems containsSemiMixedTypes="0" containsString="0" containsNumber="1" containsInteger="1" minValue="2500" maxValue="2500"/>
    </cacheField>
    <cacheField name="PRECIO (KG) ACIDO" numFmtId="165">
      <sharedItems containsSemiMixedTypes="0" containsString="0" containsNumber="1" containsInteger="1" minValue="830" maxValue="830"/>
    </cacheField>
    <cacheField name="PRECIO (KG) COAGULANTE" numFmtId="165">
      <sharedItems containsSemiMixedTypes="0" containsString="0" containsNumber="1" containsInteger="1" minValue="2900" maxValue="2900"/>
    </cacheField>
    <cacheField name="PRECIO (KG) DECOLORANTE" numFmtId="165">
      <sharedItems containsSemiMixedTypes="0" containsString="0" containsNumber="1" containsInteger="1" minValue="6295" maxValue="6295"/>
    </cacheField>
    <cacheField name="PRECIO (KG) ANIONICO" numFmtId="165">
      <sharedItems containsSemiMixedTypes="0" containsString="0" containsNumber="1" containsInteger="1" minValue="19050" maxValue="19050"/>
    </cacheField>
    <cacheField name="PRECIO (KG) CATIONICO" numFmtId="165">
      <sharedItems containsSemiMixedTypes="0" containsString="0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453180"/>
    </cacheField>
    <cacheField name="COSTO OPERATIVO COAGULANTE" numFmtId="165">
      <sharedItems containsSemiMixedTypes="0" containsString="0" containsNumber="1" containsInteger="1" minValue="0" maxValue="16138500"/>
    </cacheField>
    <cacheField name="COSTO OPERATIVO DECOLORANTE" numFmtId="165">
      <sharedItems containsSemiMixedTypes="0" containsString="0" containsNumber="1" minValue="0" maxValue="14950625"/>
    </cacheField>
    <cacheField name="COSTO OPERATIVO ANIONICO" numFmtId="165">
      <sharedItems containsSemiMixedTypes="0" containsString="0" containsNumber="1" containsInteger="1" minValue="0" maxValue="762000"/>
    </cacheField>
    <cacheField name="COSTO OPERATIVO CATIONICO" numFmtId="165">
      <sharedItems containsSemiMixedTypes="0" containsString="0" containsNumber="1" containsInteger="1" minValue="0" maxValue="3417750"/>
    </cacheField>
    <cacheField name="COSTO QUIMICA " numFmtId="165">
      <sharedItems containsSemiMixedTypes="0" containsString="0" containsNumber="1" minValue="0" maxValue="35430725"/>
    </cacheField>
    <cacheField name="LIMITE INDICADOR M3" numFmtId="165">
      <sharedItems containsSemiMixedTypes="0" containsString="0" containsNumber="1" containsInteger="1" minValue="5250" maxValue="5250"/>
    </cacheField>
    <cacheField name="$ m3" numFmtId="165">
      <sharedItems containsMixedTypes="1" containsNumber="1" minValue="0" maxValue="8568.1166666666668"/>
    </cacheField>
    <cacheField name="HORAS DE OPERACIÓN" numFmtId="3">
      <sharedItems containsSemiMixedTypes="0" containsString="0" containsNumber="1" containsInteger="1" minValue="-17228" maxValue="8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4909" databaseField="0"/>
    <cacheField name="Meses (FECHA)" numFmtId="0" databaseField="0">
      <fieldGroup base="0">
        <rangePr groupBy="months" startDate="2026-02-01T00:00:00" endDate="2026-03-04T00:00:00"/>
        <groupItems count="14">
          <s v="&lt;1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4/03/2026"/>
        </groupItems>
      </fieldGroup>
    </cacheField>
    <cacheField name="Trimestres (FECHA)" numFmtId="0" databaseField="0">
      <fieldGroup base="0">
        <rangePr groupBy="quarters" startDate="2026-02-01T00:00:00" endDate="2026-03-04T00:00:00"/>
        <groupItems count="6">
          <s v="&lt;1/02/2026"/>
          <s v="Trim.1"/>
          <s v="Trim.2"/>
          <s v="Trim.3"/>
          <s v="Trim.4"/>
          <s v="&gt;4/03/2026"/>
        </groupItems>
      </fieldGroup>
    </cacheField>
    <cacheField name="Años (FECHA)" numFmtId="0" databaseField="0">
      <fieldGroup base="0">
        <rangePr groupBy="years" startDate="2026-02-01T00:00:00" endDate="2026-03-04T00:00:00"/>
        <groupItems count="3">
          <s v="&lt;1/02/2026"/>
          <s v="2026"/>
          <s v="&gt;4/03/2026"/>
        </groupItems>
      </fieldGroup>
    </cacheField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0.58426747685" createdVersion="8" refreshedVersion="8" minRefreshableVersion="3" recordCount="94" xr:uid="{B88EE19A-5615-4F82-AE52-3176984C19D2}">
  <cacheSource type="worksheet">
    <worksheetSource name="Tabla2"/>
  </cacheSource>
  <cacheFields count="63">
    <cacheField name="FECHA" numFmtId="14">
      <sharedItems containsNonDate="0" containsDate="1" containsString="0" containsBlank="1" minDate="2024-09-01T00:00:00" maxDate="2026-01-01T00:00:00" count="369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m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2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SemiMixedTypes="0" containsString="0" containsNumber="1" minValue="0" maxValue="8.8366600000000002"/>
    </cacheField>
    <cacheField name="cm HCL (10%)" numFmtId="0">
      <sharedItems containsSemiMixedTypes="0" containsString="0" containsNumber="1" containsInteger="1" minValue="0" maxValue="0"/>
    </cacheField>
    <cacheField name="cm IK-220 (Biocida)" numFmtId="0">
      <sharedItems containsSemiMixedTypes="0" containsString="0" containsNumber="1" containsInteger="1" minValue="4" maxValue="54"/>
    </cacheField>
    <cacheField name="cm          Vitec 7000" numFmtId="0">
      <sharedItems containsSemiMixedTypes="0" containsString="0" containsNumber="1" containsInteger="1" minValue="3" maxValue="58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emiMixedTypes="0" containsString="0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35.087719298245617" maxValue="473.68421052631584"/>
    </cacheField>
    <cacheField name="(INV -L) - VITEC 7000 (Antiincrustante)" numFmtId="1">
      <sharedItems containsSemiMixedTypes="0" containsString="0" containsNumber="1" minValue="26.315789473684212" maxValue="508.77192982456143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394.73684210526318"/>
    </cacheField>
    <cacheField name="CONSUMO (L) VITEC 7000 (Antiincrustante)" numFmtId="1">
      <sharedItems containsSemiMixedTypes="0" containsString="0" containsNumber="1" minValue="0" maxValue="377.19298245614038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370.52631578947376"/>
    </cacheField>
    <cacheField name="CONSUMO (Kg) VITEC 7000 (Antiincrustante)" numFmtId="1">
      <sharedItems containsSemiMixedTypes="0" containsString="0" containsNumber="1" minValue="0" maxValue="452.63157894736844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VOLUMEN ENVIADO A RO (m3)" numFmtId="1">
      <sharedItems containsString="0" containsBlank="1" containsNumber="1" minValue="0" maxValue="524.53099999999995"/>
    </cacheField>
    <cacheField name="Q DE OPERACIÓN (m3/h)" numFmtId="0">
      <sharedItems containsSemiMixedTypes="0" containsString="0" containsNumber="1" containsInteger="1" minValue="50" maxValue="7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0" maxValue="1466.2115301708432"/>
    </cacheField>
    <cacheField name="PPM  VITEC 7000 (Antiincrustante)" numFmtId="1">
      <sharedItems containsMixedTypes="1" containsNumber="1" minValue="0" maxValue="726.38488683604453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550" maxValue="1550"/>
    </cacheField>
    <cacheField name="PRECIO KURIVERTER IK-220 (Biocida)" numFmtId="42">
      <sharedItems containsSemiMixedTypes="0" containsString="0" containsNumber="1" containsInteger="1" minValue="19462" maxValue="19462"/>
    </cacheField>
    <cacheField name="PRECIO VITEC 7000 (Antiincrustante)" numFmtId="42">
      <sharedItems containsSemiMixedTypes="0" containsString="0" containsNumber="1" containsInteger="1" minValue="36854" maxValue="36854"/>
    </cacheField>
    <cacheField name="PRECIO Hidróxido de Sodio (NaOH)" numFmtId="42">
      <sharedItems containsSemiMixedTypes="0" containsString="0" containsNumber="1" containsInteger="1" minValue="1560" maxValue="1560"/>
    </cacheField>
    <cacheField name="PRECIO Bisulfito de sodio " numFmtId="42">
      <sharedItems containsSemiMixedTypes="0" containsString="0" containsNumber="1" containsInteger="1" minValue="3640" maxValue="3640"/>
    </cacheField>
    <cacheField name="COSTO OPERATIVO HCL (10%)" numFmtId="42">
      <sharedItems containsSemiMixedTypes="0" containsString="0" containsNumber="1" minValue="0" maxValue="459452.63157894748"/>
    </cacheField>
    <cacheField name="COSTO OPERATIVO KURIVERTER IK-220 (Biocida)" numFmtId="42">
      <sharedItems containsSemiMixedTypes="0" containsString="0" containsNumber="1" minValue="0" maxValue="105709.3894736842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0" maxValue="47732.320999999996"/>
    </cacheField>
    <cacheField name="COSTO QUIMICA " numFmtId="42">
      <sharedItems containsSemiMixedTypes="0" containsString="0" containsNumber="1" minValue="0" maxValue="487365.95736842114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0" maxValue="431.05178443483942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5-12-01T00:00:00" endDate="2026-01-01T00:00:00"/>
        <groupItems count="14">
          <s v="&lt;1/12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6"/>
        </groupItems>
      </fieldGroup>
    </cacheField>
    <cacheField name="Trimestres (FECHA)" numFmtId="0" databaseField="0">
      <fieldGroup base="0">
        <rangePr groupBy="quarters" startDate="2025-12-01T00:00:00" endDate="2026-01-01T00:00:00"/>
        <groupItems count="6">
          <s v="&lt;1/12/2025"/>
          <s v="Trim.1"/>
          <s v="Trim.2"/>
          <s v="Trim.3"/>
          <s v="Trim.4"/>
          <s v="&gt;1/01/2026"/>
        </groupItems>
      </fieldGroup>
    </cacheField>
    <cacheField name="Años (FECHA)" numFmtId="0" databaseField="0">
      <fieldGroup base="0">
        <rangePr groupBy="years" startDate="2025-12-01T00:00:00" endDate="2026-01-01T00:00:00"/>
        <groupItems count="4">
          <s v="&lt;1/12/2025"/>
          <s v="2025"/>
          <s v="2026"/>
          <s v="&gt;1/01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1 (NOCHE)"/>
    <n v="1"/>
    <s v="FINAL TURNO 3"/>
    <n v="4360"/>
    <n v="6480"/>
    <n v="1510"/>
    <n v="165"/>
    <n v="60"/>
    <n v="16839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0"/>
    <x v="0"/>
    <s v="2 (MAÑANA)"/>
    <n v="2"/>
    <s v="FINAL TURNO 1"/>
    <n v="4360"/>
    <n v="6480"/>
    <n v="1510"/>
    <n v="165"/>
    <n v="60"/>
    <n v="16839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0"/>
    <x v="0"/>
    <s v="3(TARDE)"/>
    <n v="3"/>
    <s v="FINAL TURNO 2"/>
    <n v="4360"/>
    <n v="6480"/>
    <n v="1510"/>
    <n v="165"/>
    <n v="60"/>
    <n v="16839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1"/>
    <x v="1"/>
    <s v="2 (NOCHE)"/>
    <n v="4"/>
    <s v="FINAL TURNO 3"/>
    <n v="4360"/>
    <n v="6480"/>
    <n v="1510"/>
    <n v="165"/>
    <n v="60"/>
    <n v="16839"/>
    <n v="225"/>
    <n v="75"/>
    <n v="70"/>
    <n v="300"/>
    <n v="30"/>
    <n v="0"/>
    <n v="5"/>
    <n v="91"/>
    <n v="397.5"/>
    <n v="37.5"/>
    <n v="0"/>
    <n v="5"/>
    <n v="404.44444444444446"/>
    <n v="1766.6666666666667"/>
    <n v="166.66666666666666"/>
    <n v="0"/>
    <n v="22.222222222222221"/>
    <n v="1.3"/>
    <n v="1.325"/>
    <n v="1.25"/>
    <n v="2500"/>
    <n v="2500"/>
    <n v="830"/>
    <n v="2900"/>
    <n v="6295"/>
    <n v="19050"/>
    <n v="22050"/>
    <n v="75530"/>
    <n v="1152750"/>
    <n v="236062.5"/>
    <n v="0"/>
    <n v="110250"/>
    <n v="1574592.5"/>
    <n v="5250"/>
    <n v="6998.1888888888889"/>
    <n v="3"/>
  </r>
  <r>
    <x v="1"/>
    <x v="1"/>
    <s v="3 (MAÑANA)"/>
    <n v="5"/>
    <s v="FINAL TURNO 1"/>
    <n v="4290"/>
    <n v="6180"/>
    <n v="1480"/>
    <n v="165"/>
    <n v="55"/>
    <n v="16842"/>
    <n v="300"/>
    <n v="75"/>
    <n v="340"/>
    <n v="340"/>
    <n v="100"/>
    <n v="0"/>
    <n v="5"/>
    <n v="442"/>
    <n v="450.5"/>
    <n v="125"/>
    <n v="0"/>
    <n v="5"/>
    <n v="1473.3333333333333"/>
    <n v="1501.6666666666667"/>
    <n v="416.66666666666669"/>
    <n v="0"/>
    <n v="16.666666666666668"/>
    <n v="1.3"/>
    <n v="1.325"/>
    <n v="1.25"/>
    <n v="2500"/>
    <n v="2500"/>
    <n v="830"/>
    <n v="2900"/>
    <n v="6295"/>
    <n v="19050"/>
    <n v="22050"/>
    <n v="366860"/>
    <n v="1306450"/>
    <n v="786875"/>
    <n v="0"/>
    <n v="110250"/>
    <n v="2570435"/>
    <n v="5250"/>
    <n v="8568.1166666666668"/>
    <n v="4"/>
  </r>
  <r>
    <x v="1"/>
    <x v="1"/>
    <s v="3(TARDE)"/>
    <n v="6"/>
    <s v="FINAL TURNO 2"/>
    <n v="3950"/>
    <n v="5840"/>
    <n v="1380"/>
    <n v="165"/>
    <n v="50"/>
    <n v="16846"/>
    <n v="600"/>
    <n v="75"/>
    <n v="30"/>
    <n v="180"/>
    <n v="40"/>
    <n v="2.5"/>
    <n v="5"/>
    <n v="39"/>
    <n v="238.5"/>
    <n v="50"/>
    <n v="2.5"/>
    <n v="5"/>
    <n v="65"/>
    <n v="397.5"/>
    <n v="83.333333333333329"/>
    <n v="4.166666666666667"/>
    <n v="8.3333333333333339"/>
    <n v="1.3"/>
    <n v="1.325"/>
    <n v="1.25"/>
    <n v="2500"/>
    <n v="2500"/>
    <n v="830"/>
    <n v="2900"/>
    <n v="6295"/>
    <n v="19050"/>
    <n v="22050"/>
    <n v="32370"/>
    <n v="691650"/>
    <n v="314750"/>
    <n v="47625"/>
    <n v="110250"/>
    <n v="1196645"/>
    <n v="5250"/>
    <n v="1994.4083333333333"/>
    <n v="8"/>
  </r>
  <r>
    <x v="2"/>
    <x v="2"/>
    <s v="3 (NOCHE)"/>
    <n v="7"/>
    <s v="FINAL TURNO 3"/>
    <n v="3920"/>
    <n v="5660"/>
    <n v="1340"/>
    <n v="162.5"/>
    <n v="45"/>
    <n v="16854"/>
    <n v="600"/>
    <n v="75"/>
    <n v="30"/>
    <n v="180"/>
    <n v="40"/>
    <n v="2.5"/>
    <n v="5"/>
    <n v="39"/>
    <n v="238.5"/>
    <n v="50"/>
    <n v="2.5"/>
    <n v="5"/>
    <n v="65"/>
    <n v="397.5"/>
    <n v="83.333333333333329"/>
    <n v="4.166666666666667"/>
    <n v="8.3333333333333339"/>
    <n v="1.3"/>
    <n v="1.325"/>
    <n v="1.25"/>
    <n v="2500"/>
    <n v="2500"/>
    <n v="830"/>
    <n v="2900"/>
    <n v="6295"/>
    <n v="19050"/>
    <n v="22050"/>
    <n v="32370"/>
    <n v="691650"/>
    <n v="314750"/>
    <n v="47625"/>
    <n v="110250"/>
    <n v="1196645"/>
    <n v="5250"/>
    <n v="1994.4083333333333"/>
    <n v="8"/>
  </r>
  <r>
    <x v="2"/>
    <x v="2"/>
    <s v="4 (MAÑANA)"/>
    <n v="8"/>
    <s v="FINAL TURNO 1"/>
    <n v="3890"/>
    <n v="5480"/>
    <n v="1300"/>
    <n v="160"/>
    <n v="40"/>
    <n v="16862"/>
    <n v="525"/>
    <n v="75"/>
    <n v="210"/>
    <n v="340"/>
    <n v="120"/>
    <n v="5"/>
    <n v="5"/>
    <n v="273"/>
    <n v="450.5"/>
    <n v="150"/>
    <n v="5"/>
    <n v="5"/>
    <n v="520"/>
    <n v="858.09523809523807"/>
    <n v="285.71428571428572"/>
    <n v="9.5238095238095237"/>
    <n v="9.5238095238095237"/>
    <n v="1.3"/>
    <n v="1.325"/>
    <n v="1.25"/>
    <n v="2500"/>
    <n v="2500"/>
    <n v="830"/>
    <n v="2900"/>
    <n v="6295"/>
    <n v="19050"/>
    <n v="22050"/>
    <n v="226590"/>
    <n v="1306450"/>
    <n v="944250"/>
    <n v="95250"/>
    <n v="110250"/>
    <n v="2682790"/>
    <n v="5250"/>
    <n v="5110.0761904761903"/>
    <n v="7"/>
  </r>
  <r>
    <x v="2"/>
    <x v="2"/>
    <s v="3(TARDE)"/>
    <n v="9"/>
    <s v="FINAL TURNO 2"/>
    <n v="3680"/>
    <n v="5140"/>
    <n v="1180"/>
    <n v="155"/>
    <n v="35"/>
    <n v="16869"/>
    <n v="525"/>
    <n v="75"/>
    <n v="310"/>
    <n v="240"/>
    <n v="130"/>
    <n v="0"/>
    <n v="0"/>
    <n v="403"/>
    <n v="318"/>
    <n v="162.5"/>
    <n v="0"/>
    <n v="0"/>
    <n v="767.61904761904759"/>
    <n v="605.71428571428567"/>
    <n v="309.52380952380952"/>
    <n v="0"/>
    <n v="0"/>
    <n v="1.3"/>
    <n v="1.325"/>
    <n v="1.25"/>
    <n v="2500"/>
    <n v="2500"/>
    <n v="830"/>
    <n v="2900"/>
    <n v="6295"/>
    <n v="19050"/>
    <n v="22050"/>
    <n v="334490"/>
    <n v="922200"/>
    <n v="1022937.5"/>
    <n v="0"/>
    <n v="0"/>
    <n v="2279627.5"/>
    <n v="5250"/>
    <n v="4342.1476190476187"/>
    <n v="7"/>
  </r>
  <r>
    <x v="3"/>
    <x v="3"/>
    <s v="4 (NOCHE)"/>
    <n v="10"/>
    <s v="FINAL TURNO 3"/>
    <n v="3370"/>
    <n v="4900"/>
    <n v="1050"/>
    <n v="155"/>
    <n v="30"/>
    <n v="16876"/>
    <n v="525"/>
    <n v="75"/>
    <n v="280"/>
    <n v="210"/>
    <n v="110"/>
    <n v="0"/>
    <n v="0"/>
    <n v="364"/>
    <n v="278.25"/>
    <n v="137.5"/>
    <n v="0"/>
    <n v="0"/>
    <n v="693.33333333333337"/>
    <n v="530"/>
    <n v="261.90476190476193"/>
    <n v="0"/>
    <n v="0"/>
    <n v="1.3"/>
    <n v="1.325"/>
    <n v="1.25"/>
    <n v="2500"/>
    <n v="2500"/>
    <n v="830"/>
    <n v="2900"/>
    <n v="6295"/>
    <n v="19050"/>
    <n v="22050"/>
    <n v="302120"/>
    <n v="806925"/>
    <n v="865562.5"/>
    <n v="0"/>
    <n v="0"/>
    <n v="1974607.5"/>
    <n v="5250"/>
    <n v="3761.1571428571428"/>
    <n v="7"/>
  </r>
  <r>
    <x v="3"/>
    <x v="3"/>
    <s v="5 (MAÑANA)"/>
    <n v="11"/>
    <s v="FINAL TURNO 1"/>
    <n v="3090"/>
    <n v="4690"/>
    <n v="940"/>
    <n v="150"/>
    <n v="25"/>
    <n v="16883"/>
    <n v="525"/>
    <n v="75"/>
    <n v="280"/>
    <n v="280"/>
    <n v="40"/>
    <n v="0"/>
    <n v="0"/>
    <n v="364"/>
    <n v="371"/>
    <n v="50"/>
    <n v="0"/>
    <n v="0"/>
    <n v="693.33333333333337"/>
    <n v="706.66666666666663"/>
    <n v="95.238095238095241"/>
    <n v="0"/>
    <n v="0"/>
    <n v="1.3"/>
    <n v="1.325"/>
    <n v="1.25"/>
    <n v="2500"/>
    <n v="2500"/>
    <n v="830"/>
    <n v="2900"/>
    <n v="6295"/>
    <n v="19050"/>
    <n v="22050"/>
    <n v="302120"/>
    <n v="1075900"/>
    <n v="314750"/>
    <n v="0"/>
    <n v="0"/>
    <n v="1692770"/>
    <n v="5250"/>
    <n v="3224.3238095238094"/>
    <n v="7"/>
  </r>
  <r>
    <x v="3"/>
    <x v="3"/>
    <s v="3(TARDE)"/>
    <n v="12"/>
    <s v="FINAL TURNO 2"/>
    <n v="2810"/>
    <n v="4410"/>
    <n v="900"/>
    <n v="150"/>
    <n v="65"/>
    <n v="16890"/>
    <n v="525"/>
    <n v="75"/>
    <n v="310"/>
    <n v="290"/>
    <n v="100"/>
    <n v="0"/>
    <n v="0"/>
    <n v="403"/>
    <n v="384.25"/>
    <n v="125"/>
    <n v="0"/>
    <n v="0"/>
    <n v="767.61904761904759"/>
    <n v="731.90476190476193"/>
    <n v="238.0952380952381"/>
    <n v="0"/>
    <n v="0"/>
    <n v="1.3"/>
    <n v="1.325"/>
    <n v="1.25"/>
    <n v="2500"/>
    <n v="2500"/>
    <n v="830"/>
    <n v="2900"/>
    <n v="6295"/>
    <n v="19050"/>
    <n v="22050"/>
    <n v="334490"/>
    <n v="1114325"/>
    <n v="786875"/>
    <n v="0"/>
    <n v="0"/>
    <n v="2235690"/>
    <n v="5250"/>
    <n v="4258.4571428571426"/>
    <n v="7"/>
  </r>
  <r>
    <x v="4"/>
    <x v="4"/>
    <s v="5 (NOCHE)"/>
    <n v="13"/>
    <s v="FINAL TURNO 3"/>
    <n v="2500"/>
    <n v="4120"/>
    <n v="800"/>
    <n v="145"/>
    <n v="60"/>
    <n v="16897"/>
    <n v="600"/>
    <n v="75"/>
    <n v="110"/>
    <n v="120"/>
    <n v="80"/>
    <n v="0"/>
    <n v="0"/>
    <n v="143"/>
    <n v="159"/>
    <n v="100"/>
    <n v="0"/>
    <n v="0"/>
    <n v="238.33333333333334"/>
    <n v="265"/>
    <n v="166.66666666666666"/>
    <n v="0"/>
    <n v="0"/>
    <n v="1.3"/>
    <n v="1.325"/>
    <n v="1.25"/>
    <n v="2500"/>
    <n v="2500"/>
    <n v="830"/>
    <n v="2900"/>
    <n v="6295"/>
    <n v="19050"/>
    <n v="22050"/>
    <n v="118690"/>
    <n v="461100"/>
    <n v="629500"/>
    <n v="0"/>
    <n v="0"/>
    <n v="1209290"/>
    <n v="5250"/>
    <n v="2015.4833333333333"/>
    <n v="8"/>
  </r>
  <r>
    <x v="4"/>
    <x v="4"/>
    <s v="6 (MAÑANA)"/>
    <n v="14"/>
    <s v="FINAL TURNO 1"/>
    <n v="2390"/>
    <n v="4000"/>
    <n v="720"/>
    <n v="145"/>
    <n v="55"/>
    <n v="16905"/>
    <n v="525"/>
    <n v="75"/>
    <n v="90"/>
    <n v="260"/>
    <n v="70"/>
    <n v="5"/>
    <n v="5"/>
    <n v="117"/>
    <n v="344.5"/>
    <n v="87.5"/>
    <n v="5"/>
    <n v="5"/>
    <n v="222.85714285714286"/>
    <n v="656.19047619047615"/>
    <n v="166.66666666666666"/>
    <n v="9.5238095238095237"/>
    <n v="9.5238095238095237"/>
    <n v="1.3"/>
    <n v="1.325"/>
    <n v="1.25"/>
    <n v="2500"/>
    <n v="2500"/>
    <n v="830"/>
    <n v="2900"/>
    <n v="6295"/>
    <n v="19050"/>
    <n v="22050"/>
    <n v="97110"/>
    <n v="999050"/>
    <n v="550812.5"/>
    <n v="95250"/>
    <n v="110250"/>
    <n v="1852472.5"/>
    <n v="5250"/>
    <n v="3528.5190476190478"/>
    <n v="7"/>
  </r>
  <r>
    <x v="4"/>
    <x v="4"/>
    <s v="3(TARDE)"/>
    <n v="15"/>
    <s v="FINAL TURNO 2"/>
    <n v="2300"/>
    <n v="3740"/>
    <n v="650"/>
    <n v="140"/>
    <n v="50"/>
    <n v="16912"/>
    <n v="375"/>
    <n v="75"/>
    <n v="100"/>
    <n v="150"/>
    <n v="50"/>
    <n v="5"/>
    <n v="5"/>
    <n v="130"/>
    <n v="198.75"/>
    <n v="62.5"/>
    <n v="5"/>
    <n v="5"/>
    <n v="346.66666666666669"/>
    <n v="530"/>
    <n v="166.66666666666666"/>
    <n v="13.333333333333334"/>
    <n v="13.333333333333334"/>
    <n v="1.3"/>
    <n v="1.325"/>
    <n v="1.25"/>
    <n v="2500"/>
    <n v="2500"/>
    <n v="830"/>
    <n v="2900"/>
    <n v="6295"/>
    <n v="19050"/>
    <n v="22050"/>
    <n v="107900"/>
    <n v="576375"/>
    <n v="393437.5"/>
    <n v="95250"/>
    <n v="110250"/>
    <n v="1283212.5"/>
    <n v="5250"/>
    <n v="3421.9"/>
    <n v="5"/>
  </r>
  <r>
    <x v="5"/>
    <x v="5"/>
    <s v="6 (NOCHE)"/>
    <n v="16"/>
    <s v="FINAL TURNO 3"/>
    <n v="2200"/>
    <n v="3590"/>
    <n v="600"/>
    <n v="135"/>
    <n v="45"/>
    <n v="16917"/>
    <n v="525"/>
    <n v="75"/>
    <n v="50"/>
    <n v="340"/>
    <n v="90"/>
    <n v="0"/>
    <n v="10"/>
    <n v="65"/>
    <n v="450.5"/>
    <n v="112.5"/>
    <n v="0"/>
    <n v="10"/>
    <n v="123.80952380952381"/>
    <n v="858.09523809523807"/>
    <n v="214.28571428571428"/>
    <n v="0"/>
    <n v="19.047619047619047"/>
    <n v="1.3"/>
    <n v="1.325"/>
    <n v="1.25"/>
    <n v="2500"/>
    <n v="2500"/>
    <n v="830"/>
    <n v="2900"/>
    <n v="6295"/>
    <n v="19050"/>
    <n v="22050"/>
    <n v="53950"/>
    <n v="1306450"/>
    <n v="708187.5"/>
    <n v="0"/>
    <n v="220500"/>
    <n v="2289087.5"/>
    <n v="5250"/>
    <n v="4360.166666666667"/>
    <n v="7"/>
  </r>
  <r>
    <x v="5"/>
    <x v="5"/>
    <s v="7 (MAÑANA)"/>
    <n v="17"/>
    <s v="FINAL TURNO 1"/>
    <n v="2150"/>
    <n v="3250"/>
    <n v="510"/>
    <n v="135"/>
    <n v="35"/>
    <n v="16924"/>
    <n v="450"/>
    <n v="75"/>
    <n v="50"/>
    <n v="240"/>
    <n v="70"/>
    <n v="5"/>
    <n v="5"/>
    <n v="65"/>
    <n v="318"/>
    <n v="87.5"/>
    <n v="5"/>
    <n v="5"/>
    <n v="144.44444444444446"/>
    <n v="706.66666666666663"/>
    <n v="194.44444444444446"/>
    <n v="11.111111111111111"/>
    <n v="11.111111111111111"/>
    <n v="1.3"/>
    <n v="1.325"/>
    <n v="1.25"/>
    <n v="2500"/>
    <n v="2500"/>
    <n v="830"/>
    <n v="2900"/>
    <n v="6295"/>
    <n v="19050"/>
    <n v="22050"/>
    <n v="53950"/>
    <n v="922200"/>
    <n v="550812.5"/>
    <n v="95250"/>
    <n v="110250"/>
    <n v="1732462.5"/>
    <n v="5250"/>
    <n v="3849.9166666666665"/>
    <n v="6"/>
  </r>
  <r>
    <x v="5"/>
    <x v="5"/>
    <s v="3(TARDE)"/>
    <n v="18"/>
    <s v="FINAL TURNO 2"/>
    <n v="2100"/>
    <n v="3010"/>
    <n v="440"/>
    <n v="130"/>
    <n v="30"/>
    <n v="16930"/>
    <n v="375"/>
    <n v="75"/>
    <n v="100"/>
    <n v="210"/>
    <n v="50"/>
    <n v="0"/>
    <n v="5"/>
    <n v="130"/>
    <n v="278.25"/>
    <n v="62.5"/>
    <n v="0"/>
    <n v="5"/>
    <n v="346.66666666666669"/>
    <n v="742"/>
    <n v="166.66666666666666"/>
    <n v="0"/>
    <n v="13.333333333333334"/>
    <n v="1.3"/>
    <n v="1.325"/>
    <n v="1.25"/>
    <n v="2500"/>
    <n v="2500"/>
    <n v="830"/>
    <n v="2900"/>
    <n v="6295"/>
    <n v="19050"/>
    <n v="22050"/>
    <n v="107900"/>
    <n v="806925"/>
    <n v="393437.5"/>
    <n v="0"/>
    <n v="110250"/>
    <n v="1418512.5"/>
    <n v="5250"/>
    <n v="3782.7"/>
    <n v="5"/>
  </r>
  <r>
    <x v="6"/>
    <x v="6"/>
    <s v="7 (NOCHE)"/>
    <n v="19"/>
    <s v="FINAL TURNO 3"/>
    <n v="2000"/>
    <n v="6800"/>
    <n v="390"/>
    <n v="130"/>
    <n v="125"/>
    <n v="16935"/>
    <n v="600"/>
    <n v="75"/>
    <n v="250"/>
    <n v="500"/>
    <n v="60"/>
    <n v="5"/>
    <n v="5"/>
    <n v="325"/>
    <n v="662.5"/>
    <n v="75"/>
    <n v="5"/>
    <n v="5"/>
    <n v="541.66666666666663"/>
    <n v="1104.1666666666667"/>
    <n v="125"/>
    <n v="8.3333333333333339"/>
    <n v="8.3333333333333339"/>
    <n v="1.3"/>
    <n v="1.325"/>
    <n v="1.25"/>
    <n v="2500"/>
    <n v="2500"/>
    <n v="830"/>
    <n v="2900"/>
    <n v="6295"/>
    <n v="19050"/>
    <n v="22050"/>
    <n v="269750"/>
    <n v="1921250"/>
    <n v="472125"/>
    <n v="95250"/>
    <n v="110250"/>
    <n v="2868625"/>
    <n v="5250"/>
    <n v="4781.041666666667"/>
    <n v="8"/>
  </r>
  <r>
    <x v="6"/>
    <x v="6"/>
    <s v="8 (MAÑANA)"/>
    <n v="20"/>
    <s v="FINAL TURNO 1"/>
    <n v="1750"/>
    <n v="6300"/>
    <n v="330"/>
    <n v="125"/>
    <n v="120"/>
    <n v="16943"/>
    <n v="300"/>
    <n v="75"/>
    <n v="0"/>
    <n v="0"/>
    <n v="0"/>
    <n v="5"/>
    <n v="5"/>
    <n v="0"/>
    <n v="0"/>
    <n v="0"/>
    <n v="5"/>
    <n v="5"/>
    <n v="0"/>
    <n v="0"/>
    <n v="0"/>
    <n v="16.666666666666668"/>
    <n v="16.666666666666668"/>
    <n v="1.3"/>
    <n v="1.325"/>
    <n v="1.25"/>
    <n v="2500"/>
    <n v="2500"/>
    <n v="830"/>
    <n v="2900"/>
    <n v="6295"/>
    <n v="19050"/>
    <n v="22050"/>
    <n v="0"/>
    <n v="0"/>
    <n v="0"/>
    <n v="95250"/>
    <n v="110250"/>
    <n v="205500"/>
    <n v="5250"/>
    <n v="685"/>
    <n v="4"/>
  </r>
  <r>
    <x v="6"/>
    <x v="6"/>
    <s v="3(TARDE)"/>
    <n v="21"/>
    <s v="FINAL TURNO 2"/>
    <n v="1750"/>
    <n v="6300"/>
    <n v="330"/>
    <n v="120"/>
    <n v="115"/>
    <n v="169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7"/>
    <x v="7"/>
    <s v="8 (NOCHE)"/>
    <n v="22"/>
    <s v="FINAL TURNO 3"/>
    <n v="1750"/>
    <n v="6300"/>
    <n v="330"/>
    <n v="120"/>
    <n v="115"/>
    <n v="169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7"/>
    <x v="7"/>
    <s v="9 (MAÑANA)"/>
    <n v="23"/>
    <s v="FINAL TURNO 1"/>
    <n v="1750"/>
    <n v="6300"/>
    <n v="330"/>
    <n v="120"/>
    <n v="115"/>
    <n v="16947"/>
    <n v="0"/>
    <n v="75"/>
    <n v="0"/>
    <n v="0"/>
    <n v="0"/>
    <n v="5"/>
    <n v="0"/>
    <n v="0"/>
    <n v="0"/>
    <n v="0"/>
    <n v="5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95250"/>
    <n v="0"/>
    <n v="95250"/>
    <n v="5250"/>
    <e v="#DIV/0!"/>
    <n v="0"/>
  </r>
  <r>
    <x v="7"/>
    <x v="7"/>
    <s v="3(TARDE)"/>
    <n v="24"/>
    <s v="FINAL TURNO 2"/>
    <n v="1750"/>
    <n v="6300"/>
    <n v="330"/>
    <n v="115"/>
    <n v="115"/>
    <n v="169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8"/>
    <x v="8"/>
    <s v="9 (NOCHE)"/>
    <n v="25"/>
    <s v="FINAL TURNO 3"/>
    <n v="1750"/>
    <n v="6300"/>
    <n v="330"/>
    <n v="115"/>
    <n v="115"/>
    <n v="16947"/>
    <n v="525"/>
    <n v="75"/>
    <n v="80"/>
    <n v="370"/>
    <n v="80"/>
    <n v="5"/>
    <n v="5"/>
    <n v="104"/>
    <n v="490.25"/>
    <n v="100"/>
    <n v="5"/>
    <n v="5"/>
    <n v="198.0952380952381"/>
    <n v="933.80952380952385"/>
    <n v="190.47619047619048"/>
    <n v="9.5238095238095237"/>
    <n v="9.5238095238095237"/>
    <n v="1.3"/>
    <n v="1.325"/>
    <n v="1.25"/>
    <n v="2500"/>
    <n v="2500"/>
    <n v="830"/>
    <n v="2900"/>
    <n v="6295"/>
    <n v="19050"/>
    <n v="22050"/>
    <n v="86320"/>
    <n v="1421725"/>
    <n v="629500"/>
    <n v="95250"/>
    <n v="110250"/>
    <n v="2343045"/>
    <n v="5250"/>
    <n v="4462.9428571428571"/>
    <n v="7"/>
  </r>
  <r>
    <x v="8"/>
    <x v="8"/>
    <s v="10 (MAÑANA)"/>
    <n v="26"/>
    <s v="FINAL TURNO 1"/>
    <n v="2670"/>
    <n v="5930"/>
    <n v="2250"/>
    <n v="160"/>
    <n v="110"/>
    <n v="16954"/>
    <n v="525"/>
    <n v="75"/>
    <n v="0"/>
    <n v="130"/>
    <n v="20"/>
    <n v="0"/>
    <n v="5"/>
    <n v="0"/>
    <n v="172.25"/>
    <n v="25"/>
    <n v="0"/>
    <n v="5"/>
    <n v="0"/>
    <n v="328.09523809523807"/>
    <n v="47.61904761904762"/>
    <n v="0"/>
    <n v="9.5238095238095237"/>
    <n v="1.3"/>
    <n v="1.325"/>
    <n v="1.25"/>
    <n v="2500"/>
    <n v="2500"/>
    <n v="830"/>
    <n v="2900"/>
    <n v="6295"/>
    <n v="19050"/>
    <n v="22050"/>
    <n v="0"/>
    <n v="499525"/>
    <n v="157375"/>
    <n v="0"/>
    <n v="110250"/>
    <n v="767150"/>
    <n v="5250"/>
    <n v="1461.2380952380952"/>
    <n v="7"/>
  </r>
  <r>
    <x v="8"/>
    <x v="8"/>
    <s v="3(TARDE)"/>
    <n v="27"/>
    <s v="FINAL TURNO 2"/>
    <n v="2670"/>
    <n v="5800"/>
    <n v="2230"/>
    <n v="160"/>
    <n v="105"/>
    <n v="16961"/>
    <n v="300"/>
    <n v="75"/>
    <n v="70"/>
    <n v="200"/>
    <n v="40"/>
    <n v="5"/>
    <n v="5"/>
    <n v="91"/>
    <n v="265"/>
    <n v="50"/>
    <n v="5"/>
    <n v="5"/>
    <n v="303.33333333333331"/>
    <n v="883.33333333333337"/>
    <n v="166.66666666666666"/>
    <n v="16.666666666666668"/>
    <n v="16.666666666666668"/>
    <n v="1.3"/>
    <n v="1.325"/>
    <n v="1.25"/>
    <n v="2500"/>
    <n v="2500"/>
    <n v="830"/>
    <n v="2900"/>
    <n v="6295"/>
    <n v="19050"/>
    <n v="22050"/>
    <n v="75530"/>
    <n v="768500"/>
    <n v="314750"/>
    <n v="95250"/>
    <n v="110250"/>
    <n v="1364280"/>
    <n v="5250"/>
    <n v="4547.6000000000004"/>
    <n v="4"/>
  </r>
  <r>
    <x v="9"/>
    <x v="9"/>
    <s v="10 (NOCHE)"/>
    <n v="28"/>
    <s v="FINAL TURNO 3"/>
    <n v="2600"/>
    <n v="5600"/>
    <n v="2190"/>
    <n v="155"/>
    <n v="100"/>
    <n v="16965"/>
    <n v="525"/>
    <n v="75"/>
    <n v="20"/>
    <n v="20"/>
    <n v="10"/>
    <n v="0"/>
    <n v="5"/>
    <n v="26"/>
    <n v="26.5"/>
    <n v="12.5"/>
    <n v="0"/>
    <n v="5"/>
    <n v="49.523809523809526"/>
    <n v="50.476190476190474"/>
    <n v="23.80952380952381"/>
    <n v="0"/>
    <n v="9.5238095238095237"/>
    <n v="1.3"/>
    <n v="1.325"/>
    <n v="1.25"/>
    <n v="2500"/>
    <n v="2500"/>
    <n v="830"/>
    <n v="2900"/>
    <n v="6295"/>
    <n v="19050"/>
    <n v="22050"/>
    <n v="21580"/>
    <n v="76850"/>
    <n v="78687.5"/>
    <n v="0"/>
    <n v="110250"/>
    <n v="287367.5"/>
    <n v="5250"/>
    <n v="547.36666666666667"/>
    <n v="7"/>
  </r>
  <r>
    <x v="9"/>
    <x v="9"/>
    <s v="11 (MAÑANA)"/>
    <n v="29"/>
    <s v="FINAL TURNO 1"/>
    <n v="2580"/>
    <n v="5580"/>
    <n v="2180"/>
    <n v="155"/>
    <n v="95"/>
    <n v="16972"/>
    <n v="300"/>
    <n v="75"/>
    <n v="80"/>
    <n v="170"/>
    <n v="20"/>
    <n v="5"/>
    <n v="5"/>
    <n v="104"/>
    <n v="225.25"/>
    <n v="25"/>
    <n v="5"/>
    <n v="5"/>
    <n v="346.66666666666669"/>
    <n v="750.83333333333337"/>
    <n v="83.333333333333329"/>
    <n v="16.666666666666668"/>
    <n v="16.666666666666668"/>
    <n v="1.3"/>
    <n v="1.325"/>
    <n v="1.25"/>
    <n v="2500"/>
    <n v="2500"/>
    <n v="830"/>
    <n v="2900"/>
    <n v="6295"/>
    <n v="19050"/>
    <n v="22050"/>
    <n v="86320"/>
    <n v="653225"/>
    <n v="157375"/>
    <n v="95250"/>
    <n v="110250"/>
    <n v="1102420"/>
    <n v="5250"/>
    <n v="3674.7333333333331"/>
    <n v="4"/>
  </r>
  <r>
    <x v="9"/>
    <x v="9"/>
    <s v="3(TARDE)"/>
    <n v="30"/>
    <s v="FINAL TURNO 2"/>
    <n v="2500"/>
    <n v="5410"/>
    <n v="2160"/>
    <n v="150"/>
    <n v="90"/>
    <n v="16976"/>
    <n v="600"/>
    <n v="75"/>
    <n v="170"/>
    <n v="140"/>
    <n v="50"/>
    <n v="0"/>
    <n v="5"/>
    <n v="221"/>
    <n v="185.5"/>
    <n v="62.5"/>
    <n v="0"/>
    <n v="5"/>
    <n v="368.33333333333331"/>
    <n v="309.16666666666669"/>
    <n v="104.16666666666667"/>
    <n v="0"/>
    <n v="8.3333333333333339"/>
    <n v="1.3"/>
    <n v="1.325"/>
    <n v="1.25"/>
    <n v="2500"/>
    <n v="2500"/>
    <n v="830"/>
    <n v="2900"/>
    <n v="6295"/>
    <n v="19050"/>
    <n v="22050"/>
    <n v="183430"/>
    <n v="537950"/>
    <n v="393437.5"/>
    <n v="0"/>
    <n v="110250"/>
    <n v="1225067.5"/>
    <n v="5250"/>
    <n v="2041.7791666666667"/>
    <n v="8"/>
  </r>
  <r>
    <x v="10"/>
    <x v="10"/>
    <s v="11 (NOCHE)"/>
    <n v="31"/>
    <s v="FINAL TURNO 3"/>
    <n v="2330"/>
    <n v="5270"/>
    <n v="2110"/>
    <n v="150"/>
    <n v="85"/>
    <n v="16984"/>
    <n v="225"/>
    <n v="75"/>
    <n v="130"/>
    <n v="90"/>
    <n v="10"/>
    <n v="5"/>
    <n v="5"/>
    <n v="169"/>
    <n v="119.25"/>
    <n v="12.5"/>
    <n v="5"/>
    <n v="5"/>
    <n v="751.11111111111109"/>
    <n v="530"/>
    <n v="55.555555555555557"/>
    <n v="22.222222222222221"/>
    <n v="22.222222222222221"/>
    <n v="1.3"/>
    <n v="1.325"/>
    <n v="1.25"/>
    <n v="2500"/>
    <n v="2500"/>
    <n v="830"/>
    <n v="2900"/>
    <n v="6295"/>
    <n v="19050"/>
    <n v="22050"/>
    <n v="140270"/>
    <n v="345825"/>
    <n v="78687.5"/>
    <n v="95250"/>
    <n v="110250"/>
    <n v="770282.5"/>
    <n v="5250"/>
    <n v="3423.4777777777776"/>
    <n v="3"/>
  </r>
  <r>
    <x v="10"/>
    <x v="10"/>
    <s v="12 (MAÑANA)"/>
    <n v="32"/>
    <s v="FINAL TURNO 1"/>
    <n v="2200"/>
    <n v="5180"/>
    <n v="2100"/>
    <n v="145"/>
    <n v="80"/>
    <n v="16987"/>
    <n v="450"/>
    <n v="75"/>
    <n v="100"/>
    <n v="120"/>
    <n v="30"/>
    <n v="5"/>
    <n v="5"/>
    <n v="130"/>
    <n v="159"/>
    <n v="37.5"/>
    <n v="5"/>
    <n v="5"/>
    <n v="288.88888888888891"/>
    <n v="353.33333333333331"/>
    <n v="83.333333333333329"/>
    <n v="11.111111111111111"/>
    <n v="11.111111111111111"/>
    <n v="1.3"/>
    <n v="1.325"/>
    <n v="1.25"/>
    <n v="2500"/>
    <n v="2500"/>
    <n v="830"/>
    <n v="2900"/>
    <n v="6295"/>
    <n v="19050"/>
    <n v="22050"/>
    <n v="107900"/>
    <n v="461100"/>
    <n v="236062.5"/>
    <n v="95250"/>
    <n v="110250"/>
    <n v="1010562.5"/>
    <n v="5250"/>
    <n v="2245.6944444444443"/>
    <n v="6"/>
  </r>
  <r>
    <x v="10"/>
    <x v="10"/>
    <s v="3(TARDE)"/>
    <n v="33"/>
    <s v="FINAL TURNO 2"/>
    <n v="2100"/>
    <n v="4910"/>
    <n v="2070"/>
    <n v="140"/>
    <n v="75"/>
    <n v="16993"/>
    <n v="600"/>
    <n v="75"/>
    <n v="70"/>
    <n v="110"/>
    <n v="70"/>
    <n v="0"/>
    <n v="5"/>
    <n v="91"/>
    <n v="145.75"/>
    <n v="87.5"/>
    <n v="0"/>
    <n v="5"/>
    <n v="151.66666666666666"/>
    <n v="242.91666666666666"/>
    <n v="145.83333333333334"/>
    <n v="0"/>
    <n v="8.3333333333333339"/>
    <n v="1.3"/>
    <n v="1.325"/>
    <n v="1.25"/>
    <n v="2500"/>
    <n v="2500"/>
    <n v="830"/>
    <n v="2900"/>
    <n v="6295"/>
    <n v="19050"/>
    <n v="22050"/>
    <n v="75530"/>
    <n v="422675"/>
    <n v="550812.5"/>
    <n v="0"/>
    <n v="110250"/>
    <n v="1159267.5"/>
    <n v="5250"/>
    <n v="1932.1125"/>
    <n v="8"/>
  </r>
  <r>
    <x v="11"/>
    <x v="11"/>
    <s v="12 (NOCHE)"/>
    <n v="34"/>
    <s v="FINAL TURNO 3"/>
    <n v="2030"/>
    <n v="4800"/>
    <n v="2000"/>
    <n v="140"/>
    <n v="70"/>
    <n v="17001"/>
    <n v="375"/>
    <n v="75"/>
    <n v="100"/>
    <n v="120"/>
    <n v="0"/>
    <n v="5"/>
    <n v="5"/>
    <n v="130"/>
    <n v="159"/>
    <n v="0"/>
    <n v="5"/>
    <n v="5"/>
    <n v="346.66666666666669"/>
    <n v="424"/>
    <n v="0"/>
    <n v="13.333333333333334"/>
    <n v="13.333333333333334"/>
    <n v="1.3"/>
    <n v="1.325"/>
    <n v="1.25"/>
    <n v="2500"/>
    <n v="2500"/>
    <n v="830"/>
    <n v="2900"/>
    <n v="6295"/>
    <n v="19050"/>
    <n v="22050"/>
    <n v="107900"/>
    <n v="461100"/>
    <n v="0"/>
    <n v="95250"/>
    <n v="110250"/>
    <n v="774500"/>
    <n v="5250"/>
    <n v="2065.3333333333335"/>
    <n v="5"/>
  </r>
  <r>
    <x v="11"/>
    <x v="11"/>
    <s v="13 (MAÑANA)"/>
    <n v="35"/>
    <s v="FINAL TURNO 1"/>
    <n v="1930"/>
    <n v="4680"/>
    <n v="2000"/>
    <n v="135"/>
    <n v="65"/>
    <n v="17006"/>
    <n v="225"/>
    <n v="75"/>
    <n v="130"/>
    <n v="170"/>
    <n v="30"/>
    <n v="0"/>
    <n v="5"/>
    <n v="169"/>
    <n v="225.25"/>
    <n v="37.5"/>
    <n v="0"/>
    <n v="5"/>
    <n v="751.11111111111109"/>
    <n v="1001.1111111111111"/>
    <n v="166.66666666666666"/>
    <n v="0"/>
    <n v="22.222222222222221"/>
    <n v="1.3"/>
    <n v="1.325"/>
    <n v="1.25"/>
    <n v="2500"/>
    <n v="2500"/>
    <n v="830"/>
    <n v="2900"/>
    <n v="6295"/>
    <n v="19050"/>
    <n v="22050"/>
    <n v="140270"/>
    <n v="653225"/>
    <n v="236062.5"/>
    <n v="0"/>
    <n v="110250"/>
    <n v="1139807.5"/>
    <n v="5250"/>
    <n v="5065.8111111111111"/>
    <n v="3"/>
  </r>
  <r>
    <x v="11"/>
    <x v="11"/>
    <s v="3(TARDE)"/>
    <n v="36"/>
    <s v="FINAL TURNO 2"/>
    <n v="1800"/>
    <n v="4510"/>
    <n v="1970"/>
    <n v="135"/>
    <n v="60"/>
    <n v="17009"/>
    <n v="600"/>
    <n v="75"/>
    <n v="100"/>
    <n v="110"/>
    <n v="20"/>
    <n v="5"/>
    <n v="5"/>
    <n v="130"/>
    <n v="145.75"/>
    <n v="25"/>
    <n v="5"/>
    <n v="5"/>
    <n v="216.66666666666666"/>
    <n v="242.91666666666666"/>
    <n v="41.666666666666664"/>
    <n v="8.3333333333333339"/>
    <n v="8.3333333333333339"/>
    <n v="1.3"/>
    <n v="1.325"/>
    <n v="1.25"/>
    <n v="2500"/>
    <n v="2500"/>
    <n v="830"/>
    <n v="2900"/>
    <n v="6295"/>
    <n v="19050"/>
    <n v="22050"/>
    <n v="107900"/>
    <n v="422675"/>
    <n v="157375"/>
    <n v="95250"/>
    <n v="110250"/>
    <n v="893450"/>
    <n v="5250"/>
    <n v="1489.0833333333333"/>
    <n v="8"/>
  </r>
  <r>
    <x v="12"/>
    <x v="12"/>
    <s v="13 (NOCHE)"/>
    <n v="37"/>
    <s v="FINAL TURNO 3"/>
    <n v="1700"/>
    <n v="4400"/>
    <n v="1950"/>
    <n v="130"/>
    <n v="55"/>
    <n v="17017"/>
    <n v="375"/>
    <n v="75"/>
    <n v="100"/>
    <n v="200"/>
    <n v="40"/>
    <n v="0"/>
    <n v="5"/>
    <n v="130"/>
    <n v="265"/>
    <n v="50"/>
    <n v="0"/>
    <n v="5"/>
    <n v="346.66666666666669"/>
    <n v="706.66666666666663"/>
    <n v="133.33333333333334"/>
    <n v="0"/>
    <n v="13.333333333333334"/>
    <n v="1.3"/>
    <n v="1.325"/>
    <n v="1.25"/>
    <n v="2500"/>
    <n v="2500"/>
    <n v="830"/>
    <n v="2900"/>
    <n v="6295"/>
    <n v="19050"/>
    <n v="22050"/>
    <n v="107900"/>
    <n v="768500"/>
    <n v="314750"/>
    <n v="0"/>
    <n v="110250"/>
    <n v="1301400"/>
    <n v="5250"/>
    <n v="3470.4"/>
    <n v="5"/>
  </r>
  <r>
    <x v="12"/>
    <x v="12"/>
    <s v="14 (MAÑANA)"/>
    <n v="38"/>
    <s v="FINAL TURNO 1"/>
    <n v="1600"/>
    <n v="4200"/>
    <n v="1910"/>
    <n v="130"/>
    <n v="50"/>
    <n v="17022"/>
    <n v="450"/>
    <n v="75"/>
    <n v="110"/>
    <n v="230"/>
    <n v="60"/>
    <n v="5"/>
    <n v="5"/>
    <n v="143"/>
    <n v="304.75"/>
    <n v="75"/>
    <n v="5"/>
    <n v="5"/>
    <n v="317.77777777777777"/>
    <n v="677.22222222222217"/>
    <n v="166.66666666666666"/>
    <n v="11.111111111111111"/>
    <n v="11.111111111111111"/>
    <n v="1.3"/>
    <n v="1.325"/>
    <n v="1.25"/>
    <n v="2500"/>
    <n v="2500"/>
    <n v="830"/>
    <n v="2900"/>
    <n v="6295"/>
    <n v="19050"/>
    <n v="22050"/>
    <n v="118690"/>
    <n v="883775"/>
    <n v="472125"/>
    <n v="95250"/>
    <n v="110250"/>
    <n v="1680090"/>
    <n v="5250"/>
    <n v="3733.5333333333333"/>
    <n v="6"/>
  </r>
  <r>
    <x v="12"/>
    <x v="12"/>
    <s v="3(TARDE)"/>
    <n v="39"/>
    <s v="FINAL TURNO 2"/>
    <n v="1490"/>
    <n v="3970"/>
    <n v="1850"/>
    <n v="125"/>
    <n v="45"/>
    <n v="17028"/>
    <n v="300"/>
    <n v="75"/>
    <n v="100"/>
    <n v="70"/>
    <n v="50"/>
    <n v="0"/>
    <n v="5"/>
    <n v="130"/>
    <n v="92.75"/>
    <n v="62.5"/>
    <n v="0"/>
    <n v="5"/>
    <n v="433.33333333333331"/>
    <n v="309.16666666666669"/>
    <n v="208.33333333333334"/>
    <n v="0"/>
    <n v="16.666666666666668"/>
    <n v="1.3"/>
    <n v="1.325"/>
    <n v="1.25"/>
    <n v="2500"/>
    <n v="2500"/>
    <n v="830"/>
    <n v="2900"/>
    <n v="6295"/>
    <n v="19050"/>
    <n v="22050"/>
    <n v="107900"/>
    <n v="268975"/>
    <n v="393437.5"/>
    <n v="0"/>
    <n v="110250"/>
    <n v="880562.5"/>
    <n v="5250"/>
    <n v="2935.2083333333335"/>
    <n v="4"/>
  </r>
  <r>
    <x v="13"/>
    <x v="13"/>
    <s v="14 (NOCHE)"/>
    <n v="40"/>
    <s v="FINAL TURNO 3"/>
    <n v="1390"/>
    <n v="3900"/>
    <n v="1800"/>
    <n v="125"/>
    <n v="40"/>
    <n v="17032"/>
    <n v="525"/>
    <n v="75"/>
    <n v="40"/>
    <n v="300"/>
    <n v="0"/>
    <n v="5"/>
    <n v="5"/>
    <n v="52"/>
    <n v="397.5"/>
    <n v="0"/>
    <n v="5"/>
    <n v="5"/>
    <n v="99.047619047619051"/>
    <n v="757.14285714285711"/>
    <n v="0"/>
    <n v="9.5238095238095237"/>
    <n v="9.5238095238095237"/>
    <n v="1.3"/>
    <n v="1.325"/>
    <n v="1.25"/>
    <n v="2500"/>
    <n v="2500"/>
    <n v="830"/>
    <n v="2900"/>
    <n v="6295"/>
    <n v="19050"/>
    <n v="22050"/>
    <n v="43160"/>
    <n v="1152750"/>
    <n v="0"/>
    <n v="95250"/>
    <n v="110250"/>
    <n v="1401410"/>
    <n v="5250"/>
    <n v="2669.3523809523808"/>
    <n v="7"/>
  </r>
  <r>
    <x v="13"/>
    <x v="13"/>
    <s v="15 (MAÑANA)"/>
    <n v="41"/>
    <s v="FINAL TURNO 1"/>
    <n v="1350"/>
    <n v="3600"/>
    <n v="1800"/>
    <n v="120"/>
    <n v="35"/>
    <n v="17039"/>
    <n v="300"/>
    <n v="75"/>
    <n v="50"/>
    <n v="190"/>
    <n v="20"/>
    <n v="0"/>
    <n v="5"/>
    <n v="65"/>
    <n v="251.75"/>
    <n v="25"/>
    <n v="0"/>
    <n v="5"/>
    <n v="216.66666666666666"/>
    <n v="839.16666666666663"/>
    <n v="83.333333333333329"/>
    <n v="0"/>
    <n v="16.666666666666668"/>
    <n v="1.3"/>
    <n v="1.325"/>
    <n v="1.25"/>
    <n v="2500"/>
    <n v="2500"/>
    <n v="830"/>
    <n v="2900"/>
    <n v="6295"/>
    <n v="19050"/>
    <n v="22050"/>
    <n v="53950"/>
    <n v="730075"/>
    <n v="157375"/>
    <n v="0"/>
    <n v="110250"/>
    <n v="1051650"/>
    <n v="5250"/>
    <n v="3505.5"/>
    <n v="4"/>
  </r>
  <r>
    <x v="13"/>
    <x v="13"/>
    <s v="3(TARDE)"/>
    <n v="42"/>
    <s v="FINAL TURNO 2"/>
    <n v="1300"/>
    <n v="3260"/>
    <n v="1780"/>
    <n v="120"/>
    <n v="30"/>
    <n v="17043"/>
    <n v="300"/>
    <n v="75"/>
    <n v="0"/>
    <n v="0"/>
    <n v="0"/>
    <n v="5"/>
    <n v="0"/>
    <n v="0"/>
    <n v="0"/>
    <n v="0"/>
    <n v="5"/>
    <n v="0"/>
    <n v="0"/>
    <n v="0"/>
    <n v="0"/>
    <n v="16.666666666666668"/>
    <n v="0"/>
    <n v="1.3"/>
    <n v="1.325"/>
    <n v="1.25"/>
    <n v="2500"/>
    <n v="2500"/>
    <n v="830"/>
    <n v="2900"/>
    <n v="6295"/>
    <n v="19050"/>
    <n v="22050"/>
    <n v="0"/>
    <n v="0"/>
    <n v="0"/>
    <n v="95250"/>
    <n v="0"/>
    <n v="95250"/>
    <n v="5250"/>
    <n v="317.5"/>
    <n v="4"/>
  </r>
  <r>
    <x v="14"/>
    <x v="14"/>
    <s v="15 (NOCHE)"/>
    <n v="43"/>
    <s v="FINAL TURNO 3"/>
    <n v="1300"/>
    <n v="3260"/>
    <n v="1780"/>
    <n v="115"/>
    <n v="30"/>
    <n v="170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14"/>
    <x v="14"/>
    <s v="16 (MAÑANA)"/>
    <n v="44"/>
    <s v="FINAL TURNO 1"/>
    <n v="1300"/>
    <n v="3260"/>
    <n v="1780"/>
    <n v="115"/>
    <n v="30"/>
    <n v="170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14"/>
    <x v="14"/>
    <s v="3(TARDE)"/>
    <n v="45"/>
    <s v="FINAL TURNO 2"/>
    <n v="1300"/>
    <n v="3260"/>
    <n v="1780"/>
    <n v="115"/>
    <n v="30"/>
    <n v="170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15"/>
    <x v="15"/>
    <s v="16 (NOCHE)"/>
    <n v="46"/>
    <s v="FINAL TURNO 3"/>
    <n v="1300"/>
    <n v="3260"/>
    <n v="1780"/>
    <n v="115"/>
    <n v="30"/>
    <n v="17047"/>
    <n v="480"/>
    <n v="80"/>
    <n v="200"/>
    <n v="380"/>
    <n v="80"/>
    <n v="5"/>
    <n v="5"/>
    <n v="260"/>
    <n v="503.5"/>
    <n v="100"/>
    <n v="5"/>
    <n v="5"/>
    <n v="541.66666666666663"/>
    <n v="1048.9583333333333"/>
    <n v="208.33333333333334"/>
    <n v="10.416666666666666"/>
    <n v="10.416666666666666"/>
    <n v="1.3"/>
    <n v="1.325"/>
    <n v="1.25"/>
    <n v="2500"/>
    <n v="2500"/>
    <n v="830"/>
    <n v="2900"/>
    <n v="6295"/>
    <n v="19050"/>
    <n v="22050"/>
    <n v="215800"/>
    <n v="1460150"/>
    <n v="629500"/>
    <n v="95250"/>
    <n v="110250"/>
    <n v="2510950"/>
    <n v="5250"/>
    <n v="5231.145833333333"/>
    <n v="6"/>
  </r>
  <r>
    <x v="15"/>
    <x v="15"/>
    <s v="17 (MAÑANA)"/>
    <n v="47"/>
    <s v="FINAL TURNO 1"/>
    <n v="1100"/>
    <n v="2880"/>
    <n v="1700"/>
    <n v="110"/>
    <n v="25"/>
    <n v="17053"/>
    <n v="320"/>
    <n v="80"/>
    <n v="100"/>
    <n v="240"/>
    <n v="60"/>
    <n v="0"/>
    <n v="5"/>
    <n v="130"/>
    <n v="318"/>
    <n v="75"/>
    <n v="0"/>
    <n v="5"/>
    <n v="406.25"/>
    <n v="993.75"/>
    <n v="234.375"/>
    <n v="0"/>
    <n v="15.625"/>
    <n v="1.3"/>
    <n v="1.325"/>
    <n v="1.25"/>
    <n v="2500"/>
    <n v="2500"/>
    <n v="830"/>
    <n v="2900"/>
    <n v="6295"/>
    <n v="19050"/>
    <n v="22050"/>
    <n v="107900"/>
    <n v="922200"/>
    <n v="472125"/>
    <n v="0"/>
    <n v="110250"/>
    <n v="1612475"/>
    <n v="5250"/>
    <n v="5038.984375"/>
    <n v="4"/>
  </r>
  <r>
    <x v="15"/>
    <x v="15"/>
    <s v="3(TARDE)"/>
    <n v="48"/>
    <s v="FINAL TURNO 2"/>
    <n v="1000"/>
    <n v="2640"/>
    <n v="1640"/>
    <n v="110"/>
    <n v="20"/>
    <n v="17057"/>
    <n v="640"/>
    <n v="80"/>
    <n v="100"/>
    <n v="240"/>
    <n v="40"/>
    <n v="0"/>
    <n v="5"/>
    <n v="130"/>
    <n v="318"/>
    <n v="50"/>
    <n v="0"/>
    <n v="5"/>
    <n v="203.125"/>
    <n v="496.875"/>
    <n v="78.125"/>
    <n v="0"/>
    <n v="7.8125"/>
    <n v="1.3"/>
    <n v="1.325"/>
    <n v="1.25"/>
    <n v="2500"/>
    <n v="2500"/>
    <n v="830"/>
    <n v="2900"/>
    <n v="6295"/>
    <n v="19050"/>
    <n v="22050"/>
    <n v="107900"/>
    <n v="922200"/>
    <n v="314750"/>
    <n v="0"/>
    <n v="110250"/>
    <n v="1455100"/>
    <n v="5250"/>
    <n v="2273.59375"/>
    <n v="8"/>
  </r>
  <r>
    <x v="16"/>
    <x v="16"/>
    <s v="17 (NOCHE)"/>
    <n v="49"/>
    <s v="FINAL TURNO 3"/>
    <n v="900"/>
    <n v="2400"/>
    <n v="1600"/>
    <n v="110"/>
    <n v="15"/>
    <n v="17065"/>
    <n v="400"/>
    <n v="80"/>
    <n v="140"/>
    <n v="100"/>
    <n v="0"/>
    <n v="5"/>
    <n v="5"/>
    <n v="182"/>
    <n v="132.5"/>
    <n v="0"/>
    <n v="5"/>
    <n v="5"/>
    <n v="455"/>
    <n v="331.25"/>
    <n v="0"/>
    <n v="12.5"/>
    <n v="12.5"/>
    <n v="1.3"/>
    <n v="1.325"/>
    <n v="1.25"/>
    <n v="2500"/>
    <n v="2500"/>
    <n v="830"/>
    <n v="2900"/>
    <n v="6295"/>
    <n v="19050"/>
    <n v="22050"/>
    <n v="151060"/>
    <n v="384250"/>
    <n v="0"/>
    <n v="95250"/>
    <n v="110250"/>
    <n v="740810"/>
    <n v="5250"/>
    <n v="1852.0250000000001"/>
    <n v="5"/>
  </r>
  <r>
    <x v="16"/>
    <x v="16"/>
    <s v="18 (MAÑANA)"/>
    <n v="50"/>
    <s v="FINAL TURNO 1"/>
    <n v="760"/>
    <n v="2300"/>
    <n v="1600"/>
    <n v="105"/>
    <n v="10"/>
    <n v="17070"/>
    <n v="400"/>
    <n v="80"/>
    <n v="60"/>
    <n v="150"/>
    <n v="50"/>
    <n v="0"/>
    <n v="5"/>
    <n v="78"/>
    <n v="198.75"/>
    <n v="62.5"/>
    <n v="0"/>
    <n v="5"/>
    <n v="195"/>
    <n v="496.875"/>
    <n v="156.25"/>
    <n v="0"/>
    <n v="12.5"/>
    <n v="1.3"/>
    <n v="1.325"/>
    <n v="1.25"/>
    <n v="2500"/>
    <n v="2500"/>
    <n v="830"/>
    <n v="2900"/>
    <n v="6295"/>
    <n v="19050"/>
    <n v="22050"/>
    <n v="64740"/>
    <n v="576375"/>
    <n v="393437.5"/>
    <n v="0"/>
    <n v="110250"/>
    <n v="1144802.5"/>
    <n v="5250"/>
    <n v="2862.0062499999999"/>
    <n v="5"/>
  </r>
  <r>
    <x v="16"/>
    <x v="16"/>
    <s v="3(TARDE)"/>
    <n v="51"/>
    <s v="FINAL TURNO 2"/>
    <n v="700"/>
    <n v="2150"/>
    <n v="1550"/>
    <n v="105"/>
    <n v="5"/>
    <n v="17075"/>
    <n v="400"/>
    <n v="80"/>
    <n v="50"/>
    <n v="50"/>
    <n v="60"/>
    <n v="0"/>
    <n v="5"/>
    <n v="65"/>
    <n v="66.25"/>
    <n v="75"/>
    <n v="0"/>
    <n v="5"/>
    <n v="162.5"/>
    <n v="165.625"/>
    <n v="187.5"/>
    <n v="0"/>
    <n v="12.5"/>
    <n v="1.3"/>
    <n v="1.325"/>
    <n v="1.25"/>
    <n v="2500"/>
    <n v="2500"/>
    <n v="830"/>
    <n v="2900"/>
    <n v="6295"/>
    <n v="19050"/>
    <n v="22050"/>
    <n v="53950"/>
    <n v="192125"/>
    <n v="472125"/>
    <n v="0"/>
    <n v="110250"/>
    <n v="828450"/>
    <n v="5250"/>
    <n v="2071.125"/>
    <n v="5"/>
  </r>
  <r>
    <x v="17"/>
    <x v="17"/>
    <s v="18 (NOCHE)"/>
    <n v="52"/>
    <s v="FINAL TURNO 3"/>
    <n v="650"/>
    <n v="2100"/>
    <n v="1490"/>
    <n v="105"/>
    <n v="0"/>
    <n v="17080"/>
    <n v="320"/>
    <n v="80"/>
    <n v="70"/>
    <n v="0"/>
    <n v="80"/>
    <n v="5"/>
    <n v="5"/>
    <n v="91"/>
    <n v="0"/>
    <n v="100"/>
    <n v="5"/>
    <n v="5"/>
    <n v="284.375"/>
    <n v="0"/>
    <n v="312.5"/>
    <n v="15.625"/>
    <n v="15.625"/>
    <n v="1.3"/>
    <n v="1.325"/>
    <n v="1.25"/>
    <n v="2500"/>
    <n v="2500"/>
    <n v="830"/>
    <n v="2900"/>
    <n v="6295"/>
    <n v="19050"/>
    <n v="22050"/>
    <n v="75530"/>
    <n v="0"/>
    <n v="629500"/>
    <n v="95250"/>
    <n v="110250"/>
    <n v="910530"/>
    <n v="5250"/>
    <n v="2845.40625"/>
    <n v="4"/>
  </r>
  <r>
    <x v="17"/>
    <x v="17"/>
    <s v="19 (MAÑANA)"/>
    <n v="53"/>
    <s v="FINAL TURNO 1"/>
    <n v="580"/>
    <n v="2100"/>
    <n v="1410"/>
    <n v="100"/>
    <n v="295"/>
    <n v="17084"/>
    <n v="160"/>
    <n v="80"/>
    <n v="80"/>
    <n v="0"/>
    <n v="40"/>
    <n v="0"/>
    <n v="5"/>
    <n v="104"/>
    <n v="0"/>
    <n v="50"/>
    <n v="0"/>
    <n v="5"/>
    <n v="650"/>
    <n v="0"/>
    <n v="312.5"/>
    <n v="0"/>
    <n v="31.25"/>
    <n v="1.3"/>
    <n v="1.325"/>
    <n v="1.25"/>
    <n v="2500"/>
    <n v="2500"/>
    <n v="830"/>
    <n v="2900"/>
    <n v="6295"/>
    <n v="19050"/>
    <n v="22050"/>
    <n v="86320"/>
    <n v="0"/>
    <n v="314750"/>
    <n v="0"/>
    <n v="110250"/>
    <n v="511320"/>
    <n v="5250"/>
    <n v="3195.75"/>
    <n v="2"/>
  </r>
  <r>
    <x v="17"/>
    <x v="17"/>
    <s v="3(TARDE)"/>
    <n v="54"/>
    <s v="FINAL TURNO 2"/>
    <n v="500"/>
    <n v="2100"/>
    <n v="1370"/>
    <n v="100"/>
    <n v="290"/>
    <n v="17086"/>
    <n v="480"/>
    <n v="80"/>
    <n v="130"/>
    <n v="0"/>
    <n v="80"/>
    <n v="0"/>
    <n v="5"/>
    <n v="169"/>
    <n v="0"/>
    <n v="100"/>
    <n v="0"/>
    <n v="5"/>
    <n v="352.08333333333331"/>
    <n v="0"/>
    <n v="208.33333333333334"/>
    <n v="0"/>
    <n v="10.416666666666666"/>
    <n v="1.3"/>
    <n v="1.325"/>
    <n v="1.25"/>
    <n v="2500"/>
    <n v="2500"/>
    <n v="830"/>
    <n v="2900"/>
    <n v="6295"/>
    <n v="19050"/>
    <n v="22050"/>
    <n v="140270"/>
    <n v="0"/>
    <n v="629500"/>
    <n v="0"/>
    <n v="110250"/>
    <n v="880020"/>
    <n v="5250"/>
    <n v="1833.375"/>
    <n v="6"/>
  </r>
  <r>
    <x v="18"/>
    <x v="18"/>
    <s v="19 (NOCHE)"/>
    <n v="55"/>
    <s v="FINAL TURNO 3"/>
    <n v="370"/>
    <n v="2100"/>
    <n v="1290"/>
    <n v="100"/>
    <n v="285"/>
    <n v="17092"/>
    <n v="320"/>
    <n v="80"/>
    <n v="70"/>
    <n v="40"/>
    <n v="70"/>
    <n v="5"/>
    <n v="5"/>
    <n v="91"/>
    <n v="53"/>
    <n v="87.5"/>
    <n v="5"/>
    <n v="5"/>
    <n v="284.375"/>
    <n v="165.625"/>
    <n v="273.4375"/>
    <n v="15.625"/>
    <n v="15.625"/>
    <n v="1.3"/>
    <n v="1.325"/>
    <n v="1.25"/>
    <n v="2500"/>
    <n v="2500"/>
    <n v="830"/>
    <n v="2900"/>
    <n v="6295"/>
    <n v="19050"/>
    <n v="22050"/>
    <n v="75530"/>
    <n v="153700"/>
    <n v="550812.5"/>
    <n v="95250"/>
    <n v="110250"/>
    <n v="985542.5"/>
    <n v="5250"/>
    <n v="3079.8203125"/>
    <n v="4"/>
  </r>
  <r>
    <x v="18"/>
    <x v="18"/>
    <s v="20 (MAÑANA)"/>
    <n v="56"/>
    <s v="FINAL TURNO 1"/>
    <n v="300"/>
    <n v="2060"/>
    <n v="1220"/>
    <n v="95"/>
    <n v="280"/>
    <n v="17096"/>
    <n v="320"/>
    <n v="80"/>
    <n v="200"/>
    <n v="160"/>
    <n v="50"/>
    <n v="0"/>
    <n v="5"/>
    <n v="260"/>
    <n v="212"/>
    <n v="62.5"/>
    <n v="0"/>
    <n v="5"/>
    <n v="812.5"/>
    <n v="662.5"/>
    <n v="195.3125"/>
    <n v="0"/>
    <n v="15.625"/>
    <n v="1.3"/>
    <n v="1.325"/>
    <n v="1.25"/>
    <n v="2500"/>
    <n v="2500"/>
    <n v="830"/>
    <n v="2900"/>
    <n v="6295"/>
    <n v="19050"/>
    <n v="22050"/>
    <n v="215800"/>
    <n v="614800"/>
    <n v="393437.5"/>
    <n v="0"/>
    <n v="110250"/>
    <n v="1334287.5"/>
    <n v="5250"/>
    <n v="4169.6484375"/>
    <n v="4"/>
  </r>
  <r>
    <x v="18"/>
    <x v="18"/>
    <s v="3(TARDE)"/>
    <n v="57"/>
    <s v="FINAL TURNO 2"/>
    <n v="100"/>
    <n v="1900"/>
    <n v="1170"/>
    <n v="95"/>
    <n v="275"/>
    <n v="17100"/>
    <n v="560"/>
    <n v="80"/>
    <n v="50"/>
    <n v="170"/>
    <n v="20"/>
    <n v="0"/>
    <n v="5"/>
    <n v="65"/>
    <n v="225.25"/>
    <n v="25"/>
    <n v="0"/>
    <n v="5"/>
    <n v="116.07142857142857"/>
    <n v="402.23214285714283"/>
    <n v="44.642857142857146"/>
    <n v="0"/>
    <n v="8.9285714285714288"/>
    <n v="1.3"/>
    <n v="1.325"/>
    <n v="1.25"/>
    <n v="2500"/>
    <n v="2500"/>
    <n v="830"/>
    <n v="2900"/>
    <n v="6295"/>
    <n v="19050"/>
    <n v="22050"/>
    <n v="53950"/>
    <n v="653225"/>
    <n v="157375"/>
    <n v="0"/>
    <n v="110250"/>
    <n v="974800"/>
    <n v="5250"/>
    <n v="1740.7142857142858"/>
    <n v="7"/>
  </r>
  <r>
    <x v="19"/>
    <x v="19"/>
    <s v="20 (NOCHE)"/>
    <n v="58"/>
    <s v="FINAL TURNO 3"/>
    <n v="1050"/>
    <n v="3730"/>
    <n v="2150"/>
    <n v="95"/>
    <n v="270"/>
    <n v="17107"/>
    <n v="480"/>
    <n v="80"/>
    <n v="120"/>
    <n v="140"/>
    <n v="50"/>
    <n v="5"/>
    <n v="5"/>
    <n v="156"/>
    <n v="185.5"/>
    <n v="62.5"/>
    <n v="5"/>
    <n v="5"/>
    <n v="325"/>
    <n v="386.45833333333331"/>
    <n v="130.20833333333334"/>
    <n v="10.416666666666666"/>
    <n v="10.416666666666666"/>
    <n v="1.3"/>
    <n v="1.325"/>
    <n v="1.25"/>
    <n v="2500"/>
    <n v="2500"/>
    <n v="830"/>
    <n v="2900"/>
    <n v="6295"/>
    <n v="19050"/>
    <n v="22050"/>
    <n v="129480"/>
    <n v="537950"/>
    <n v="393437.5"/>
    <n v="95250"/>
    <n v="110250"/>
    <n v="1266367.5"/>
    <n v="5250"/>
    <n v="2638.265625"/>
    <n v="6"/>
  </r>
  <r>
    <x v="19"/>
    <x v="19"/>
    <s v="21 (MAÑANA)"/>
    <n v="59"/>
    <s v="FINAL TURNO 1"/>
    <n v="930"/>
    <n v="3590"/>
    <n v="2100"/>
    <n v="90"/>
    <n v="265"/>
    <n v="17113"/>
    <n v="400"/>
    <n v="80"/>
    <n v="130"/>
    <n v="90"/>
    <n v="20"/>
    <n v="0"/>
    <n v="5"/>
    <n v="169"/>
    <n v="119.25"/>
    <n v="25"/>
    <n v="0"/>
    <n v="5"/>
    <n v="422.5"/>
    <n v="298.125"/>
    <n v="62.5"/>
    <n v="0"/>
    <n v="12.5"/>
    <n v="1.3"/>
    <n v="1.325"/>
    <n v="1.25"/>
    <n v="2500"/>
    <n v="2500"/>
    <n v="830"/>
    <n v="2900"/>
    <n v="6295"/>
    <n v="19050"/>
    <n v="22050"/>
    <n v="140270"/>
    <n v="345825"/>
    <n v="157375"/>
    <n v="0"/>
    <n v="110250"/>
    <n v="753720"/>
    <n v="5250"/>
    <n v="1884.3"/>
    <n v="5"/>
  </r>
  <r>
    <x v="19"/>
    <x v="19"/>
    <s v="3(TARDE)"/>
    <n v="60"/>
    <s v="FINAL TURNO 2"/>
    <n v="800"/>
    <n v="3500"/>
    <n v="2080"/>
    <n v="90"/>
    <n v="260"/>
    <n v="17118"/>
    <n v="480"/>
    <n v="80"/>
    <n v="0"/>
    <n v="150"/>
    <n v="40"/>
    <n v="0"/>
    <n v="5"/>
    <n v="0"/>
    <n v="198.75"/>
    <n v="50"/>
    <n v="0"/>
    <n v="5"/>
    <n v="0"/>
    <n v="414.0625"/>
    <n v="104.16666666666667"/>
    <n v="0"/>
    <n v="10.416666666666666"/>
    <n v="1.3"/>
    <n v="1.325"/>
    <n v="1.25"/>
    <n v="2500"/>
    <n v="2500"/>
    <n v="830"/>
    <n v="2900"/>
    <n v="6295"/>
    <n v="19050"/>
    <n v="22050"/>
    <n v="0"/>
    <n v="576375"/>
    <n v="314750"/>
    <n v="0"/>
    <n v="110250"/>
    <n v="1001375"/>
    <n v="5250"/>
    <n v="2086.1979166666665"/>
    <n v="6"/>
  </r>
  <r>
    <x v="20"/>
    <x v="20"/>
    <s v="21 (NOCHE)"/>
    <n v="61"/>
    <s v="FINAL TURNO 3"/>
    <n v="800"/>
    <n v="3350"/>
    <n v="2040"/>
    <n v="90"/>
    <n v="255"/>
    <n v="17124"/>
    <n v="400"/>
    <n v="80"/>
    <n v="150"/>
    <n v="300"/>
    <n v="40"/>
    <n v="5"/>
    <n v="5"/>
    <n v="195"/>
    <n v="397.5"/>
    <n v="50"/>
    <n v="5"/>
    <n v="5"/>
    <n v="487.5"/>
    <n v="993.75"/>
    <n v="125"/>
    <n v="12.5"/>
    <n v="12.5"/>
    <n v="1.3"/>
    <n v="1.325"/>
    <n v="1.25"/>
    <n v="2500"/>
    <n v="2500"/>
    <n v="830"/>
    <n v="2900"/>
    <n v="6295"/>
    <n v="19050"/>
    <n v="22050"/>
    <n v="161850"/>
    <n v="1152750"/>
    <n v="314750"/>
    <n v="95250"/>
    <n v="110250"/>
    <n v="1834850"/>
    <n v="5250"/>
    <n v="4587.125"/>
    <n v="5"/>
  </r>
  <r>
    <x v="20"/>
    <x v="20"/>
    <s v="22 (MAÑANA)"/>
    <n v="62"/>
    <s v="FINAL TURNO 1"/>
    <n v="650"/>
    <n v="3050"/>
    <n v="2000"/>
    <n v="85"/>
    <n v="250"/>
    <n v="17129"/>
    <n v="160"/>
    <n v="80"/>
    <n v="50"/>
    <n v="50"/>
    <n v="50"/>
    <n v="0"/>
    <n v="5"/>
    <n v="65"/>
    <n v="66.25"/>
    <n v="62.5"/>
    <n v="0"/>
    <n v="5"/>
    <n v="406.25"/>
    <n v="414.0625"/>
    <n v="390.625"/>
    <n v="0"/>
    <n v="31.25"/>
    <n v="1.3"/>
    <n v="1.325"/>
    <n v="1.25"/>
    <n v="2500"/>
    <n v="2500"/>
    <n v="830"/>
    <n v="2900"/>
    <n v="6295"/>
    <n v="19050"/>
    <n v="22050"/>
    <n v="53950"/>
    <n v="192125"/>
    <n v="393437.5"/>
    <n v="0"/>
    <n v="110250"/>
    <n v="749762.5"/>
    <n v="5250"/>
    <n v="4686.015625"/>
    <n v="2"/>
  </r>
  <r>
    <x v="20"/>
    <x v="20"/>
    <s v="3(TARDE)"/>
    <n v="63"/>
    <s v="FINAL TURNO 2"/>
    <n v="600"/>
    <n v="3000"/>
    <n v="1950"/>
    <n v="85"/>
    <n v="245"/>
    <n v="17131"/>
    <n v="320"/>
    <n v="80"/>
    <n v="80"/>
    <n v="150"/>
    <n v="40"/>
    <n v="0"/>
    <n v="5"/>
    <n v="104"/>
    <n v="198.75"/>
    <n v="50"/>
    <n v="0"/>
    <n v="5"/>
    <n v="325"/>
    <n v="621.09375"/>
    <n v="156.25"/>
    <n v="0"/>
    <n v="15.625"/>
    <n v="1.3"/>
    <n v="1.325"/>
    <n v="1.25"/>
    <n v="2500"/>
    <n v="2500"/>
    <n v="830"/>
    <n v="2900"/>
    <n v="6295"/>
    <n v="19050"/>
    <n v="22050"/>
    <n v="86320"/>
    <n v="576375"/>
    <n v="314750"/>
    <n v="0"/>
    <n v="110250"/>
    <n v="1087695"/>
    <n v="5250"/>
    <n v="3399.046875"/>
    <n v="4"/>
  </r>
  <r>
    <x v="21"/>
    <x v="21"/>
    <s v="22 (NOCHE)"/>
    <n v="64"/>
    <s v="FINAL TURNO 3"/>
    <n v="520"/>
    <n v="2850"/>
    <n v="1910"/>
    <n v="85"/>
    <n v="240"/>
    <n v="17135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21"/>
    <x v="21"/>
    <s v="23 (MAÑANA)"/>
    <n v="65"/>
    <s v="FINAL TURNO 1"/>
    <n v="520"/>
    <n v="2850"/>
    <n v="1910"/>
    <n v="85"/>
    <n v="240"/>
    <n v="17135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21"/>
    <x v="21"/>
    <s v="3(TARDE)"/>
    <n v="66"/>
    <s v="FINAL TURNO 2"/>
    <n v="520"/>
    <n v="2850"/>
    <n v="1910"/>
    <n v="85"/>
    <n v="240"/>
    <n v="17135"/>
    <n v="0"/>
    <n v="80"/>
    <n v="0"/>
    <n v="160"/>
    <n v="0"/>
    <n v="0"/>
    <n v="0"/>
    <n v="0"/>
    <n v="212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614800"/>
    <n v="0"/>
    <n v="0"/>
    <n v="0"/>
    <n v="614800"/>
    <n v="5250"/>
    <e v="#DIV/0!"/>
    <n v="0"/>
  </r>
  <r>
    <x v="22"/>
    <x v="22"/>
    <s v="23 (NOCHE)"/>
    <n v="67"/>
    <s v="FINAL TURNO 3"/>
    <n v="520"/>
    <n v="2690"/>
    <n v="1910"/>
    <n v="85"/>
    <n v="240"/>
    <n v="17135"/>
    <n v="240"/>
    <n v="80"/>
    <n v="0"/>
    <n v="290"/>
    <n v="10"/>
    <n v="5"/>
    <n v="5"/>
    <n v="0"/>
    <n v="384.25"/>
    <n v="12.5"/>
    <n v="5"/>
    <n v="5"/>
    <n v="0"/>
    <n v="1601.0416666666667"/>
    <n v="52.083333333333336"/>
    <n v="20.833333333333332"/>
    <n v="20.833333333333332"/>
    <n v="1.3"/>
    <n v="1.325"/>
    <n v="1.25"/>
    <n v="2500"/>
    <n v="2500"/>
    <n v="830"/>
    <n v="2900"/>
    <n v="6295"/>
    <n v="19050"/>
    <n v="22050"/>
    <n v="0"/>
    <n v="1114325"/>
    <n v="78687.5"/>
    <n v="95250"/>
    <n v="110250"/>
    <n v="1398512.5"/>
    <n v="5250"/>
    <n v="5827.135416666667"/>
    <n v="3"/>
  </r>
  <r>
    <x v="22"/>
    <x v="22"/>
    <s v="24 (MAÑANA)"/>
    <n v="68"/>
    <s v="FINAL TURNO 1"/>
    <n v="520"/>
    <n v="4400"/>
    <n v="1900"/>
    <n v="80"/>
    <n v="235"/>
    <n v="17138"/>
    <n v="0"/>
    <n v="80"/>
    <n v="420"/>
    <n v="100"/>
    <n v="90"/>
    <n v="0"/>
    <n v="5"/>
    <n v="546"/>
    <n v="132.5"/>
    <n v="112.5"/>
    <n v="0"/>
    <n v="5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453180"/>
    <n v="384250"/>
    <n v="708187.5"/>
    <n v="0"/>
    <n v="110250"/>
    <n v="1655867.5"/>
    <n v="5250"/>
    <e v="#DIV/0!"/>
    <n v="0"/>
  </r>
  <r>
    <x v="22"/>
    <x v="22"/>
    <s v="3(TARDE)"/>
    <n v="69"/>
    <s v="FINAL TURNO 2"/>
    <n v="2100"/>
    <n v="4300"/>
    <n v="2810"/>
    <n v="80"/>
    <n v="230"/>
    <n v="17138"/>
    <n v="480"/>
    <n v="80"/>
    <n v="100"/>
    <n v="0"/>
    <n v="10"/>
    <n v="5"/>
    <n v="5"/>
    <n v="130"/>
    <n v="0"/>
    <n v="12.5"/>
    <n v="5"/>
    <n v="5"/>
    <n v="270.83333333333331"/>
    <n v="0"/>
    <n v="26.041666666666668"/>
    <n v="10.416666666666666"/>
    <n v="10.416666666666666"/>
    <n v="1.3"/>
    <n v="1.325"/>
    <n v="1.25"/>
    <n v="2500"/>
    <n v="2500"/>
    <n v="830"/>
    <n v="2900"/>
    <n v="6295"/>
    <n v="19050"/>
    <n v="22050"/>
    <n v="107900"/>
    <n v="0"/>
    <n v="78687.5"/>
    <n v="95250"/>
    <n v="110250"/>
    <n v="392087.5"/>
    <n v="5250"/>
    <n v="816.84895833333337"/>
    <n v="6"/>
  </r>
  <r>
    <x v="23"/>
    <x v="23"/>
    <s v="24 (NOCHE)"/>
    <n v="70"/>
    <s v="FINAL TURNO 3"/>
    <n v="2000"/>
    <n v="4300"/>
    <n v="2800"/>
    <n v="75"/>
    <n v="225"/>
    <n v="17144"/>
    <n v="400"/>
    <n v="80"/>
    <n v="0"/>
    <n v="330"/>
    <n v="0"/>
    <n v="0"/>
    <n v="5"/>
    <n v="0"/>
    <n v="437.25"/>
    <n v="0"/>
    <n v="0"/>
    <n v="5"/>
    <n v="0"/>
    <n v="1093.125"/>
    <n v="0"/>
    <n v="0"/>
    <n v="12.5"/>
    <n v="1.3"/>
    <n v="1.325"/>
    <n v="1.25"/>
    <n v="2500"/>
    <n v="2500"/>
    <n v="830"/>
    <n v="2900"/>
    <n v="6295"/>
    <n v="19050"/>
    <n v="22050"/>
    <n v="0"/>
    <n v="1268025"/>
    <n v="0"/>
    <n v="0"/>
    <n v="110250"/>
    <n v="1378275"/>
    <n v="5250"/>
    <n v="3445.6875"/>
    <n v="5"/>
  </r>
  <r>
    <x v="23"/>
    <x v="23"/>
    <s v="25 (MAÑANA)"/>
    <n v="71"/>
    <s v="FINAL TURNO 1"/>
    <n v="2000"/>
    <n v="3970"/>
    <n v="2800"/>
    <n v="75"/>
    <n v="220"/>
    <n v="17149"/>
    <n v="320"/>
    <n v="80"/>
    <n v="0"/>
    <n v="310"/>
    <n v="80"/>
    <n v="5"/>
    <n v="5"/>
    <n v="0"/>
    <n v="410.75"/>
    <n v="100"/>
    <n v="5"/>
    <n v="5"/>
    <n v="0"/>
    <n v="1283.59375"/>
    <n v="312.5"/>
    <n v="15.625"/>
    <n v="15.625"/>
    <n v="1.3"/>
    <n v="1.325"/>
    <n v="1.25"/>
    <n v="2500"/>
    <n v="2500"/>
    <n v="830"/>
    <n v="2900"/>
    <n v="6295"/>
    <n v="19050"/>
    <n v="22050"/>
    <n v="0"/>
    <n v="1191175"/>
    <n v="629500"/>
    <n v="95250"/>
    <n v="110250"/>
    <n v="2026175"/>
    <n v="5250"/>
    <n v="6331.796875"/>
    <n v="4"/>
  </r>
  <r>
    <x v="23"/>
    <x v="23"/>
    <s v="3(TARDE)"/>
    <n v="72"/>
    <s v="FINAL TURNO 2"/>
    <n v="2000"/>
    <n v="3660"/>
    <n v="2720"/>
    <n v="70"/>
    <n v="215"/>
    <n v="17153"/>
    <n v="400"/>
    <n v="80"/>
    <n v="130"/>
    <n v="60"/>
    <n v="120"/>
    <n v="0"/>
    <n v="5"/>
    <n v="169"/>
    <n v="79.5"/>
    <n v="150"/>
    <n v="0"/>
    <n v="5"/>
    <n v="422.5"/>
    <n v="198.75"/>
    <n v="375"/>
    <n v="0"/>
    <n v="12.5"/>
    <n v="1.3"/>
    <n v="1.325"/>
    <n v="1.25"/>
    <n v="2500"/>
    <n v="2500"/>
    <n v="830"/>
    <n v="2900"/>
    <n v="6295"/>
    <n v="19050"/>
    <n v="22050"/>
    <n v="140270"/>
    <n v="230550"/>
    <n v="944250"/>
    <n v="0"/>
    <n v="110250"/>
    <n v="1425320"/>
    <n v="5250"/>
    <n v="3563.3"/>
    <n v="5"/>
  </r>
  <r>
    <x v="24"/>
    <x v="24"/>
    <s v="25 (NOCHE)"/>
    <n v="73"/>
    <s v="FINAL TURNO 3"/>
    <n v="1870"/>
    <n v="3600"/>
    <n v="2600"/>
    <n v="70"/>
    <n v="210"/>
    <n v="17158"/>
    <n v="480"/>
    <n v="80"/>
    <n v="70"/>
    <n v="400"/>
    <n v="25"/>
    <n v="5"/>
    <n v="5"/>
    <n v="91"/>
    <n v="530"/>
    <n v="31.25"/>
    <n v="5"/>
    <n v="5"/>
    <n v="189.58333333333334"/>
    <n v="1104.1666666666667"/>
    <n v="65.104166666666671"/>
    <n v="10.416666666666666"/>
    <n v="10.416666666666666"/>
    <n v="1.3"/>
    <n v="1.325"/>
    <n v="1.25"/>
    <n v="2500"/>
    <n v="2500"/>
    <n v="830"/>
    <n v="2900"/>
    <n v="6295"/>
    <n v="19050"/>
    <n v="22050"/>
    <n v="75530"/>
    <n v="1537000"/>
    <n v="196718.75"/>
    <n v="95250"/>
    <n v="110250"/>
    <n v="2014748.75"/>
    <n v="5250"/>
    <n v="4197.393229166667"/>
    <n v="6"/>
  </r>
  <r>
    <x v="24"/>
    <x v="24"/>
    <s v="26 (MAÑANA)"/>
    <n v="74"/>
    <s v="FINAL TURNO 1"/>
    <n v="1800"/>
    <n v="3200"/>
    <n v="2575"/>
    <n v="65"/>
    <n v="205"/>
    <n v="17164"/>
    <n v="480"/>
    <n v="80"/>
    <n v="70"/>
    <n v="180"/>
    <n v="25"/>
    <n v="0"/>
    <n v="5"/>
    <n v="91"/>
    <n v="238.5"/>
    <n v="31.25"/>
    <n v="0"/>
    <n v="5"/>
    <n v="189.58333333333334"/>
    <n v="496.875"/>
    <n v="65.104166666666671"/>
    <n v="0"/>
    <n v="10.416666666666666"/>
    <n v="1.3"/>
    <n v="1.325"/>
    <n v="1.25"/>
    <n v="2500"/>
    <n v="2500"/>
    <n v="830"/>
    <n v="2900"/>
    <n v="6295"/>
    <n v="19050"/>
    <n v="22050"/>
    <n v="75530"/>
    <n v="691650"/>
    <n v="196718.75"/>
    <n v="0"/>
    <n v="110250"/>
    <n v="1074148.75"/>
    <n v="5250"/>
    <n v="2237.8098958333335"/>
    <n v="6"/>
  </r>
  <r>
    <x v="24"/>
    <x v="24"/>
    <s v="3(TARDE)"/>
    <n v="75"/>
    <s v="FINAL TURNO 2"/>
    <n v="1730"/>
    <n v="3020"/>
    <n v="2550"/>
    <n v="65"/>
    <n v="200"/>
    <n v="17170"/>
    <n v="480"/>
    <n v="80"/>
    <n v="40"/>
    <n v="200"/>
    <n v="50"/>
    <n v="5"/>
    <n v="5"/>
    <n v="52"/>
    <n v="265"/>
    <n v="62.5"/>
    <n v="5"/>
    <n v="5"/>
    <n v="108.33333333333333"/>
    <n v="552.08333333333337"/>
    <n v="130.20833333333334"/>
    <n v="10.416666666666666"/>
    <n v="10.416666666666666"/>
    <n v="1.3"/>
    <n v="1.325"/>
    <n v="1.25"/>
    <n v="2500"/>
    <n v="2500"/>
    <n v="830"/>
    <n v="2900"/>
    <n v="6295"/>
    <n v="19050"/>
    <n v="22050"/>
    <n v="43160"/>
    <n v="768500"/>
    <n v="393437.5"/>
    <n v="95250"/>
    <n v="110250"/>
    <n v="1410597.5"/>
    <n v="5250"/>
    <n v="2938.7447916666665"/>
    <n v="6"/>
  </r>
  <r>
    <x v="25"/>
    <x v="25"/>
    <s v="26 (NOCHE)"/>
    <n v="76"/>
    <s v="FINAL TURNO 3"/>
    <n v="1690"/>
    <n v="2820"/>
    <n v="2500"/>
    <n v="60"/>
    <n v="195"/>
    <n v="17176"/>
    <n v="560"/>
    <n v="80"/>
    <n v="240"/>
    <n v="150"/>
    <n v="0"/>
    <n v="0"/>
    <n v="5"/>
    <n v="312"/>
    <n v="198.75"/>
    <n v="0"/>
    <n v="0"/>
    <n v="5"/>
    <n v="557.14285714285711"/>
    <n v="354.91071428571428"/>
    <n v="0"/>
    <n v="0"/>
    <n v="8.9285714285714288"/>
    <n v="1.3"/>
    <n v="1.325"/>
    <n v="1.25"/>
    <n v="2500"/>
    <n v="2500"/>
    <n v="830"/>
    <n v="2900"/>
    <n v="6295"/>
    <n v="19050"/>
    <n v="22050"/>
    <n v="258960"/>
    <n v="576375"/>
    <n v="0"/>
    <n v="0"/>
    <n v="110250"/>
    <n v="945585"/>
    <n v="5250"/>
    <n v="1688.5446428571429"/>
    <n v="7"/>
  </r>
  <r>
    <x v="25"/>
    <x v="25"/>
    <s v="27 (MAÑANA)"/>
    <n v="77"/>
    <s v="FINAL TURNO 1"/>
    <n v="1450"/>
    <n v="2670"/>
    <n v="2500"/>
    <n v="60"/>
    <n v="190"/>
    <n v="17183"/>
    <n v="560"/>
    <n v="80"/>
    <n v="350"/>
    <n v="190"/>
    <n v="100"/>
    <n v="5"/>
    <n v="5"/>
    <n v="455"/>
    <n v="251.75"/>
    <n v="125"/>
    <n v="5"/>
    <n v="5"/>
    <n v="812.5"/>
    <n v="449.55357142857144"/>
    <n v="223.21428571428572"/>
    <n v="8.9285714285714288"/>
    <n v="8.9285714285714288"/>
    <n v="1.3"/>
    <n v="1.325"/>
    <n v="1.25"/>
    <n v="2500"/>
    <n v="2500"/>
    <n v="830"/>
    <n v="2900"/>
    <n v="6295"/>
    <n v="19050"/>
    <n v="22050"/>
    <n v="377650"/>
    <n v="730075"/>
    <n v="786875"/>
    <n v="95250"/>
    <n v="110250"/>
    <n v="2100100"/>
    <n v="5250"/>
    <n v="3750.1785714285716"/>
    <n v="7"/>
  </r>
  <r>
    <x v="25"/>
    <x v="25"/>
    <s v="3(TARDE)"/>
    <n v="78"/>
    <s v="FINAL TURNO 2"/>
    <n v="1100"/>
    <n v="2480"/>
    <n v="2400"/>
    <n v="55"/>
    <n v="185"/>
    <n v="17190"/>
    <n v="640"/>
    <n v="80"/>
    <n v="190"/>
    <n v="180"/>
    <n v="100"/>
    <n v="0"/>
    <n v="5"/>
    <n v="247"/>
    <n v="238.5"/>
    <n v="125"/>
    <n v="0"/>
    <n v="5"/>
    <n v="385.9375"/>
    <n v="372.65625"/>
    <n v="195.3125"/>
    <n v="0"/>
    <n v="7.8125"/>
    <n v="1.3"/>
    <n v="1.325"/>
    <n v="1.25"/>
    <n v="2500"/>
    <n v="2500"/>
    <n v="830"/>
    <n v="2900"/>
    <n v="6295"/>
    <n v="19050"/>
    <n v="22050"/>
    <n v="205010"/>
    <n v="691650"/>
    <n v="786875"/>
    <n v="0"/>
    <n v="110250"/>
    <n v="1793785"/>
    <n v="5250"/>
    <n v="2802.7890625"/>
    <n v="8"/>
  </r>
  <r>
    <x v="26"/>
    <x v="26"/>
    <s v="27 (NOCHE)"/>
    <n v="79"/>
    <s v="FINAL TURNO 3"/>
    <n v="910"/>
    <n v="2300"/>
    <n v="2300"/>
    <n v="55"/>
    <n v="180"/>
    <n v="17198"/>
    <n v="560"/>
    <n v="80"/>
    <n v="20"/>
    <n v="220"/>
    <n v="80"/>
    <n v="5"/>
    <n v="5"/>
    <n v="26"/>
    <n v="291.5"/>
    <n v="100"/>
    <n v="5"/>
    <n v="5"/>
    <n v="46.428571428571431"/>
    <n v="520.53571428571433"/>
    <n v="178.57142857142858"/>
    <n v="8.9285714285714288"/>
    <n v="8.9285714285714288"/>
    <n v="1.3"/>
    <n v="1.325"/>
    <n v="1.25"/>
    <n v="2500"/>
    <n v="2500"/>
    <n v="830"/>
    <n v="2900"/>
    <n v="6295"/>
    <n v="19050"/>
    <n v="22050"/>
    <n v="21580"/>
    <n v="845350"/>
    <n v="629500"/>
    <n v="95250"/>
    <n v="110250"/>
    <n v="1701930"/>
    <n v="5250"/>
    <n v="3039.1607142857142"/>
    <n v="7"/>
  </r>
  <r>
    <x v="26"/>
    <x v="26"/>
    <s v="28 (MAÑANA)"/>
    <n v="80"/>
    <s v="FINAL TURNO 1"/>
    <n v="890"/>
    <n v="2080"/>
    <n v="2220"/>
    <n v="50"/>
    <n v="175"/>
    <n v="17205"/>
    <n v="400"/>
    <n v="80"/>
    <n v="390"/>
    <n v="260"/>
    <n v="50"/>
    <n v="0"/>
    <n v="5"/>
    <n v="507"/>
    <n v="344.5"/>
    <n v="62.5"/>
    <n v="0"/>
    <n v="5"/>
    <n v="1267.5"/>
    <n v="861.25"/>
    <n v="156.25"/>
    <n v="0"/>
    <n v="12.5"/>
    <n v="1.3"/>
    <n v="1.325"/>
    <n v="1.25"/>
    <n v="2500"/>
    <n v="2500"/>
    <n v="830"/>
    <n v="2900"/>
    <n v="6295"/>
    <n v="19050"/>
    <n v="22050"/>
    <n v="420810"/>
    <n v="999050"/>
    <n v="393437.5"/>
    <n v="0"/>
    <n v="110250"/>
    <n v="1923547.5"/>
    <n v="5250"/>
    <n v="4808.8687499999996"/>
    <n v="5"/>
  </r>
  <r>
    <x v="26"/>
    <x v="26"/>
    <s v="3(TARDE)"/>
    <n v="81"/>
    <s v="FINAL TURNO 2"/>
    <n v="500"/>
    <n v="1820"/>
    <n v="2170"/>
    <n v="50"/>
    <n v="170"/>
    <n v="17210"/>
    <n v="480"/>
    <n v="80"/>
    <n v="20"/>
    <n v="120"/>
    <n v="80"/>
    <n v="5"/>
    <n v="5"/>
    <n v="26"/>
    <n v="159"/>
    <n v="100"/>
    <n v="5"/>
    <n v="5"/>
    <n v="54.166666666666664"/>
    <n v="331.25"/>
    <n v="208.33333333333334"/>
    <n v="10.416666666666666"/>
    <n v="10.416666666666666"/>
    <n v="1.3"/>
    <n v="1.325"/>
    <n v="1.25"/>
    <n v="2500"/>
    <n v="2500"/>
    <n v="830"/>
    <n v="2900"/>
    <n v="6295"/>
    <n v="19050"/>
    <n v="22050"/>
    <n v="21580"/>
    <n v="461100"/>
    <n v="629500"/>
    <n v="95250"/>
    <n v="110250"/>
    <n v="1317680"/>
    <n v="5250"/>
    <n v="2745.1666666666665"/>
    <n v="6"/>
  </r>
  <r>
    <x v="27"/>
    <x v="27"/>
    <s v="28 (NOCHE)"/>
    <n v="82"/>
    <s v="FINAL TURNO 3"/>
    <n v="480"/>
    <n v="1700"/>
    <n v="2090"/>
    <n v="45"/>
    <n v="165"/>
    <n v="17216"/>
    <n v="400"/>
    <n v="80"/>
    <n v="180"/>
    <n v="350"/>
    <n v="150"/>
    <n v="0"/>
    <n v="5"/>
    <n v="234"/>
    <n v="463.75"/>
    <n v="187.5"/>
    <n v="0"/>
    <n v="5"/>
    <n v="585"/>
    <n v="1159.375"/>
    <n v="468.75"/>
    <n v="0"/>
    <n v="12.5"/>
    <n v="1.3"/>
    <n v="1.325"/>
    <n v="1.25"/>
    <n v="2500"/>
    <n v="2500"/>
    <n v="830"/>
    <n v="2900"/>
    <n v="6295"/>
    <n v="19050"/>
    <n v="22050"/>
    <n v="194220"/>
    <n v="1344875"/>
    <n v="1180312.5"/>
    <n v="0"/>
    <n v="110250"/>
    <n v="2829657.5"/>
    <n v="5250"/>
    <n v="7074.1437500000002"/>
    <n v="5"/>
  </r>
  <r>
    <x v="27"/>
    <x v="27"/>
    <s v="29 (MAÑANA)"/>
    <n v="83"/>
    <s v="FINAL TURNO 1"/>
    <n v="300"/>
    <n v="4350"/>
    <n v="1940"/>
    <n v="45"/>
    <n v="160"/>
    <n v="17221"/>
    <n v="320"/>
    <n v="80"/>
    <n v="150"/>
    <n v="150"/>
    <n v="40"/>
    <n v="5"/>
    <n v="5"/>
    <n v="195"/>
    <n v="198.75"/>
    <n v="50"/>
    <n v="5"/>
    <n v="5"/>
    <n v="609.375"/>
    <n v="621.09375"/>
    <n v="156.25"/>
    <n v="15.625"/>
    <n v="15.625"/>
    <n v="1.3"/>
    <n v="1.325"/>
    <n v="1.25"/>
    <n v="2500"/>
    <n v="2500"/>
    <n v="830"/>
    <n v="2900"/>
    <n v="6295"/>
    <n v="19050"/>
    <n v="22050"/>
    <n v="161850"/>
    <n v="576375"/>
    <n v="314750"/>
    <n v="95250"/>
    <n v="110250"/>
    <n v="1258475"/>
    <n v="5250"/>
    <n v="3932.734375"/>
    <n v="4"/>
  </r>
  <r>
    <x v="27"/>
    <x v="27"/>
    <s v="3(TARDE)"/>
    <n v="84"/>
    <s v="FINAL TURNO 2"/>
    <n v="150"/>
    <n v="4200"/>
    <n v="1900"/>
    <n v="40"/>
    <n v="155"/>
    <n v="17225"/>
    <n v="24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  <n v="3"/>
  </r>
  <r>
    <x v="28"/>
    <x v="28"/>
    <s v="29 (NOCHE)"/>
    <n v="85"/>
    <s v="FINAL TURNO 3"/>
    <n v="150"/>
    <n v="4200"/>
    <n v="1900"/>
    <n v="40"/>
    <n v="155"/>
    <n v="17228"/>
    <n v="0"/>
    <n v="80"/>
    <n v="150"/>
    <n v="4200"/>
    <n v="1900"/>
    <n v="40"/>
    <n v="155"/>
    <n v="195"/>
    <n v="5565"/>
    <n v="2375"/>
    <n v="40"/>
    <n v="155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161850"/>
    <n v="16138500"/>
    <n v="14950625"/>
    <n v="762000"/>
    <n v="3417750"/>
    <n v="35430725"/>
    <n v="5250"/>
    <e v="#DIV/0!"/>
    <n v="0"/>
  </r>
  <r>
    <x v="28"/>
    <x v="28"/>
    <s v="30 (MAÑANA)"/>
    <n v="86"/>
    <s v="FINAL TURNO 1"/>
    <m/>
    <m/>
    <m/>
    <m/>
    <m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28"/>
    <x v="28"/>
    <s v="3(TARDE)"/>
    <n v="87"/>
    <s v="FINAL TURNO 2"/>
    <m/>
    <m/>
    <m/>
    <m/>
    <m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29"/>
    <x v="29"/>
    <s v="30 (NOCHE)"/>
    <n v="88"/>
    <s v="FINAL TURNO 3"/>
    <m/>
    <m/>
    <m/>
    <m/>
    <m/>
    <n v="17228"/>
    <n v="-137824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  <n v="-17228"/>
  </r>
  <r>
    <x v="29"/>
    <x v="29"/>
    <s v="31 (MAÑANA)"/>
    <n v="89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29"/>
    <x v="29"/>
    <s v="3(TARDE)"/>
    <n v="90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30"/>
    <x v="30"/>
    <s v="31 (NOCHE)"/>
    <n v="91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30"/>
    <x v="30"/>
    <s v="32 (MAÑANA)"/>
    <n v="9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  <r>
    <x v="30"/>
    <x v="30"/>
    <s v="3(TARDE)"/>
    <n v="9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0"/>
    <x v="0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0"/>
    <x v="0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1"/>
    <x v="1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1"/>
    <x v="1"/>
    <s v="2 (MAÑANA)"/>
    <m/>
    <m/>
    <m/>
    <m/>
    <m/>
    <n v="4.680890909090909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44900000000001"/>
    <n v="55"/>
    <n v="0"/>
    <n v="0"/>
    <n v="0"/>
    <n v="0"/>
    <n v="0"/>
    <n v="1550"/>
    <n v="19462"/>
    <n v="36854"/>
    <n v="1560"/>
    <n v="3640"/>
    <n v="0"/>
    <n v="0"/>
    <n v="0"/>
    <n v="0"/>
    <n v="23427.859"/>
    <n v="23427.859"/>
    <n v="1000"/>
    <n v="91"/>
  </r>
  <r>
    <x v="1"/>
    <x v="1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4"/>
    <x v="4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4"/>
    <x v="4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4"/>
    <x v="4"/>
    <s v="3(TARDE)"/>
    <m/>
    <m/>
    <m/>
    <m/>
    <m/>
    <n v="5.0586000000000002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8.22300000000001"/>
    <n v="55"/>
    <n v="0"/>
    <n v="0"/>
    <n v="0"/>
    <n v="0"/>
    <n v="0"/>
    <n v="1550"/>
    <n v="19462"/>
    <n v="36854"/>
    <n v="1560"/>
    <n v="3640"/>
    <n v="0"/>
    <n v="0"/>
    <n v="0"/>
    <n v="0"/>
    <n v="25318.293000000001"/>
    <n v="25318.293000000001"/>
    <n v="1000"/>
    <e v="#DIV/0!"/>
  </r>
  <r>
    <x v="5"/>
    <x v="5"/>
    <s v="1 (NOCHE)"/>
    <m/>
    <m/>
    <m/>
    <m/>
    <m/>
    <n v="2.4370909090909088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34.04"/>
    <n v="55"/>
    <n v="0"/>
    <n v="0"/>
    <n v="0"/>
    <n v="0"/>
    <n v="0"/>
    <n v="1550"/>
    <n v="19462"/>
    <n v="36854"/>
    <n v="1560"/>
    <n v="3640"/>
    <n v="0"/>
    <n v="0"/>
    <n v="0"/>
    <n v="0"/>
    <n v="12197.64"/>
    <n v="12197.64"/>
    <n v="1000"/>
    <e v="#DIV/0!"/>
  </r>
  <r>
    <x v="5"/>
    <x v="5"/>
    <s v="2 (MAÑANA)"/>
    <m/>
    <m/>
    <m/>
    <m/>
    <m/>
    <n v="3.2748545454545455"/>
    <n v="0"/>
    <n v="52"/>
    <n v="32"/>
    <n v="0"/>
    <n v="0"/>
    <n v="0"/>
    <n v="456.14035087719299"/>
    <n v="280.7017543859649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180.11699999999999"/>
    <n v="55"/>
    <n v="0"/>
    <n v="124.67529634002997"/>
    <n v="0"/>
    <n v="0"/>
    <n v="0"/>
    <n v="1550"/>
    <n v="19462"/>
    <n v="36854"/>
    <n v="1560"/>
    <n v="3640"/>
    <n v="27845.614035087699"/>
    <n v="0"/>
    <n v="0"/>
    <n v="0"/>
    <n v="16390.647000000001"/>
    <n v="44236.2610350877"/>
    <n v="1000"/>
    <n v="190.78702432950504"/>
  </r>
  <r>
    <x v="5"/>
    <x v="5"/>
    <s v="3(TARDE)"/>
    <m/>
    <m/>
    <m/>
    <m/>
    <m/>
    <n v="4.8302181818181813"/>
    <n v="0"/>
    <n v="50"/>
    <n v="32"/>
    <n v="0"/>
    <n v="0"/>
    <n v="0"/>
    <n v="438.5964912280701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5.66199999999998"/>
    <n v="55"/>
    <n v="0"/>
    <n v="0"/>
    <n v="0"/>
    <n v="0"/>
    <n v="0"/>
    <n v="1550"/>
    <n v="19462"/>
    <n v="36854"/>
    <n v="1560"/>
    <n v="3640"/>
    <n v="0"/>
    <n v="0"/>
    <n v="0"/>
    <n v="0"/>
    <n v="24175.241999999998"/>
    <n v="24175.241999999998"/>
    <n v="1000"/>
    <n v="55.194616438356164"/>
  </r>
  <r>
    <x v="6"/>
    <x v="6"/>
    <s v="1 (NOCHE)"/>
    <m/>
    <m/>
    <m/>
    <m/>
    <m/>
    <n v="1.3341636363636364"/>
    <n v="0"/>
    <n v="50"/>
    <n v="32"/>
    <n v="0"/>
    <n v="0"/>
    <n v="0"/>
    <n v="438.59649122807019"/>
    <n v="280.70175438596493"/>
    <n v="0"/>
    <n v="0"/>
    <n v="0"/>
    <n v="43.859649122807014"/>
    <n v="0"/>
    <n v="0"/>
    <n v="0"/>
    <n v="1.18"/>
    <n v="1.28"/>
    <n v="1.2"/>
    <n v="1.53"/>
    <n v="1.2"/>
    <n v="0"/>
    <n v="56.140350877192979"/>
    <n v="0"/>
    <n v="0"/>
    <n v="0"/>
    <n v="73.379000000000005"/>
    <n v="55"/>
    <n v="0"/>
    <n v="765.07380690923799"/>
    <n v="0"/>
    <n v="0"/>
    <n v="0"/>
    <n v="1550"/>
    <n v="19462"/>
    <n v="36854"/>
    <n v="1560"/>
    <n v="3640"/>
    <n v="69614.035087719298"/>
    <n v="0"/>
    <n v="0"/>
    <n v="0"/>
    <n v="6677.4890000000014"/>
    <n v="76291.524087719299"/>
    <n v="1000"/>
    <n v="292.02720819956249"/>
  </r>
  <r>
    <x v="6"/>
    <x v="6"/>
    <s v="2 (MAÑANA)"/>
    <m/>
    <m/>
    <m/>
    <m/>
    <m/>
    <n v="1.3341636363636364"/>
    <n v="0"/>
    <n v="45"/>
    <n v="32"/>
    <n v="0"/>
    <n v="0"/>
    <n v="0"/>
    <n v="394.73684210526318"/>
    <n v="280.70175438596493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73.379000000000005"/>
    <n v="55"/>
    <n v="0"/>
    <n v="459.04428414554297"/>
    <n v="0"/>
    <n v="0"/>
    <n v="0"/>
    <n v="1550"/>
    <n v="19462"/>
    <n v="36854"/>
    <n v="1560"/>
    <n v="3640"/>
    <n v="41768.421052631602"/>
    <n v="0"/>
    <n v="0"/>
    <n v="0"/>
    <n v="6677.4890000000014"/>
    <n v="48445.910052631603"/>
    <n v="1000"/>
    <n v="431.05178443483942"/>
  </r>
  <r>
    <x v="6"/>
    <x v="6"/>
    <s v="3(TARDE)"/>
    <m/>
    <m/>
    <m/>
    <m/>
    <m/>
    <n v="2.668381818181818"/>
    <n v="0"/>
    <n v="42"/>
    <n v="32"/>
    <n v="0"/>
    <n v="0"/>
    <n v="0"/>
    <n v="368.42105263157896"/>
    <n v="280.70175438596493"/>
    <n v="0"/>
    <n v="0"/>
    <n v="0"/>
    <n v="0"/>
    <n v="71.929824561403507"/>
    <n v="0"/>
    <n v="0"/>
    <n v="1.18"/>
    <n v="1.28"/>
    <n v="1.2"/>
    <n v="1.53"/>
    <n v="1.2"/>
    <n v="0"/>
    <n v="0"/>
    <n v="86.315789473684205"/>
    <n v="0"/>
    <n v="0"/>
    <n v="146.761"/>
    <n v="55"/>
    <n v="0"/>
    <n v="0"/>
    <n v="588.13846644329351"/>
    <n v="0"/>
    <n v="0"/>
    <n v="1550"/>
    <n v="19462"/>
    <n v="36854"/>
    <n v="1560"/>
    <n v="3640"/>
    <n v="0"/>
    <n v="20158.534736842106"/>
    <n v="0"/>
    <n v="0"/>
    <n v="13355.251"/>
    <n v="33513.78573684211"/>
    <n v="1000"/>
    <e v="#DIV/0!"/>
  </r>
  <r>
    <x v="7"/>
    <x v="7"/>
    <s v="1 (NOCHE)"/>
    <m/>
    <m/>
    <m/>
    <m/>
    <m/>
    <n v="0.19094545454545456"/>
    <n v="0"/>
    <n v="42"/>
    <n v="58"/>
    <n v="0"/>
    <n v="0"/>
    <n v="0"/>
    <n v="368.42105263157896"/>
    <n v="508.7719298245614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.502000000000001"/>
    <n v="55"/>
    <n v="0"/>
    <n v="0"/>
    <n v="0"/>
    <n v="0"/>
    <n v="0"/>
    <n v="1550"/>
    <n v="19462"/>
    <n v="36854"/>
    <n v="1560"/>
    <n v="3640"/>
    <n v="0"/>
    <n v="0"/>
    <n v="0"/>
    <n v="0"/>
    <n v="955.68200000000002"/>
    <n v="955.68200000000002"/>
    <n v="1000"/>
    <n v="3.7137661025511495"/>
  </r>
  <r>
    <x v="7"/>
    <x v="7"/>
    <s v="2 (MAÑANA)"/>
    <m/>
    <m/>
    <m/>
    <m/>
    <m/>
    <n v="3.9779999999999998"/>
    <n v="0"/>
    <n v="42"/>
    <n v="58"/>
    <n v="0"/>
    <n v="0"/>
    <n v="0"/>
    <n v="368.42105263157896"/>
    <n v="508.7719298245614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218.79"/>
    <n v="55"/>
    <n v="0"/>
    <n v="102.63787353570628"/>
    <n v="0"/>
    <n v="0"/>
    <n v="0"/>
    <n v="1550"/>
    <n v="19462"/>
    <n v="36854"/>
    <n v="1560"/>
    <n v="3640"/>
    <n v="27845.614035087699"/>
    <n v="0"/>
    <n v="0"/>
    <n v="0"/>
    <n v="19909.89"/>
    <n v="47755.504035087695"/>
    <n v="1000"/>
    <n v="314.54101428666826"/>
  </r>
  <r>
    <x v="7"/>
    <x v="7"/>
    <s v="3(TARDE)"/>
    <m/>
    <m/>
    <m/>
    <m/>
    <m/>
    <n v="6.0241090909090911"/>
    <n v="0"/>
    <n v="40"/>
    <n v="58"/>
    <n v="0"/>
    <n v="0"/>
    <n v="0"/>
    <n v="350.87719298245617"/>
    <n v="508.77192982456143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331.32600000000002"/>
    <n v="55"/>
    <n v="0"/>
    <n v="0"/>
    <n v="127.08107168738555"/>
    <n v="0"/>
    <n v="0"/>
    <n v="1550"/>
    <n v="19462"/>
    <n v="36854"/>
    <n v="1560"/>
    <n v="3640"/>
    <n v="0"/>
    <n v="9833.4315789473603"/>
    <n v="0"/>
    <n v="0"/>
    <n v="30150.666000000005"/>
    <n v="39984.097578947367"/>
    <n v="1000"/>
    <n v="145.68756382358731"/>
  </r>
  <r>
    <x v="8"/>
    <x v="8"/>
    <s v="1 (NOCHE)"/>
    <m/>
    <m/>
    <m/>
    <m/>
    <m/>
    <n v="0.85053636363636365"/>
    <n v="0"/>
    <n v="40"/>
    <n v="54"/>
    <n v="0"/>
    <n v="0"/>
    <n v="0"/>
    <n v="350.87719298245617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6.779499999999999"/>
    <n v="55"/>
    <n v="0"/>
    <n v="0"/>
    <n v="0"/>
    <n v="0"/>
    <n v="0"/>
    <n v="1550"/>
    <n v="19462"/>
    <n v="36854"/>
    <n v="1560"/>
    <n v="3640"/>
    <n v="0"/>
    <n v="0"/>
    <n v="0"/>
    <n v="0"/>
    <n v="4256.9345000000003"/>
    <n v="4256.9345000000003"/>
    <n v="1000"/>
    <e v="#REF!"/>
  </r>
  <r>
    <x v="8"/>
    <x v="8"/>
    <s v="2 (MAÑANA)"/>
    <m/>
    <m/>
    <m/>
    <m/>
    <m/>
    <n v="0.85053636363636365"/>
    <n v="0"/>
    <n v="40"/>
    <n v="54"/>
    <n v="0"/>
    <n v="0"/>
    <n v="0"/>
    <n v="350.87719298245617"/>
    <n v="473.68421052631584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46.779499999999999"/>
    <n v="55"/>
    <n v="0"/>
    <n v="480.04233373330578"/>
    <n v="0"/>
    <n v="0"/>
    <n v="0"/>
    <n v="1550"/>
    <n v="19462"/>
    <n v="36854"/>
    <n v="1560"/>
    <n v="3640"/>
    <n v="27845.614035087699"/>
    <n v="0"/>
    <n v="0"/>
    <n v="0"/>
    <n v="4256.9345000000003"/>
    <n v="32102.548535087699"/>
    <n v="1000"/>
    <e v="#REF!"/>
  </r>
  <r>
    <x v="8"/>
    <x v="8"/>
    <s v="3(TARDE)"/>
    <m/>
    <m/>
    <m/>
    <m/>
    <m/>
    <n v="4.5947272727272725"/>
    <n v="0"/>
    <n v="38"/>
    <n v="54"/>
    <n v="0"/>
    <n v="0"/>
    <n v="0"/>
    <n v="333.33333333333337"/>
    <n v="473.68421052631584"/>
    <n v="0"/>
    <n v="0"/>
    <n v="0"/>
    <n v="289.47368421052636"/>
    <n v="17.543859649122851"/>
    <n v="0"/>
    <n v="0"/>
    <n v="1.18"/>
    <n v="1.28"/>
    <n v="1.2"/>
    <n v="1.53"/>
    <n v="1.2"/>
    <n v="0"/>
    <n v="370.52631578947376"/>
    <n v="21.05263157894742"/>
    <n v="0"/>
    <n v="0"/>
    <n v="252.71"/>
    <n v="55"/>
    <n v="0"/>
    <n v="1466.2115301708432"/>
    <n v="83.307473305161722"/>
    <n v="0"/>
    <n v="0"/>
    <n v="1550"/>
    <n v="19462"/>
    <n v="36854"/>
    <n v="1560"/>
    <n v="3640"/>
    <n v="459452.63157894748"/>
    <n v="4916.7157894736965"/>
    <n v="0"/>
    <n v="0"/>
    <n v="22996.61"/>
    <n v="487365.95736842114"/>
    <n v="1000"/>
    <e v="#REF!"/>
  </r>
  <r>
    <x v="9"/>
    <x v="9"/>
    <s v="1 (NOCHE)"/>
    <m/>
    <m/>
    <m/>
    <m/>
    <m/>
    <n v="2.6456727272727272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45.512"/>
    <n v="55"/>
    <n v="0"/>
    <n v="0"/>
    <n v="0"/>
    <n v="0"/>
    <n v="0"/>
    <n v="1550"/>
    <n v="19462"/>
    <n v="36854"/>
    <n v="1560"/>
    <n v="3640"/>
    <n v="0"/>
    <n v="0"/>
    <n v="0"/>
    <n v="0"/>
    <n v="13241.592000000001"/>
    <n v="13241.592000000001"/>
    <n v="1000"/>
    <e v="#REF!"/>
  </r>
  <r>
    <x v="9"/>
    <x v="9"/>
    <s v="2 (MAÑANA)"/>
    <m/>
    <m/>
    <m/>
    <m/>
    <m/>
    <n v="2.0209999999999999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11.155"/>
    <n v="55"/>
    <n v="0"/>
    <n v="0"/>
    <n v="0"/>
    <n v="0"/>
    <n v="0"/>
    <n v="1550"/>
    <n v="19462"/>
    <n v="36854"/>
    <n v="1560"/>
    <n v="3640"/>
    <n v="0"/>
    <n v="0"/>
    <n v="0"/>
    <n v="0"/>
    <n v="10115.105000000001"/>
    <n v="10115.105000000001"/>
    <n v="1000"/>
    <e v="#REF!"/>
  </r>
  <r>
    <x v="9"/>
    <x v="9"/>
    <s v="3(TARDE)"/>
    <m/>
    <m/>
    <m/>
    <m/>
    <m/>
    <n v="0"/>
    <n v="0"/>
    <n v="5"/>
    <n v="52"/>
    <n v="0"/>
    <n v="0"/>
    <n v="0"/>
    <n v="43.859649122807021"/>
    <n v="456.14035087719299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9833.4315789473603"/>
    <n v="0"/>
    <n v="0"/>
    <n v="0"/>
    <n v="9833.4315789473603"/>
    <n v="1000"/>
    <e v="#REF!"/>
  </r>
  <r>
    <x v="10"/>
    <x v="10"/>
    <s v="1 (NOCHE)"/>
    <m/>
    <m/>
    <m/>
    <m/>
    <m/>
    <n v="0"/>
    <n v="0"/>
    <n v="5"/>
    <n v="48"/>
    <n v="0"/>
    <n v="0"/>
    <n v="0"/>
    <n v="43.859649122807021"/>
    <n v="421.0526315789474"/>
    <n v="0"/>
    <n v="0"/>
    <n v="0"/>
    <n v="0"/>
    <n v="377.19298245614038"/>
    <n v="0"/>
    <n v="0"/>
    <n v="1.18"/>
    <n v="1.28"/>
    <n v="1.2"/>
    <n v="1.53"/>
    <n v="1.2"/>
    <n v="0"/>
    <n v="0"/>
    <n v="452.63157894736844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105709.3894736842"/>
    <n v="0"/>
    <n v="0"/>
    <n v="0"/>
    <n v="105709.3894736842"/>
    <n v="1000"/>
    <e v="#REF!"/>
  </r>
  <r>
    <x v="10"/>
    <x v="10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0"/>
    <x v="10"/>
    <s v="3(TARD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3(TARDE)"/>
    <m/>
    <n v="0"/>
    <n v="0"/>
    <m/>
    <m/>
    <n v="0"/>
    <n v="0"/>
    <n v="5"/>
    <n v="5"/>
    <n v="0"/>
    <n v="0"/>
    <n v="0"/>
    <n v="43.859649122807021"/>
    <n v="43.859649122807021"/>
    <n v="0"/>
    <n v="0"/>
    <n v="0"/>
    <n v="20"/>
    <n v="30"/>
    <n v="0"/>
    <n v="0"/>
    <n v="1.18"/>
    <n v="1.28"/>
    <n v="1.2"/>
    <n v="1.53"/>
    <n v="1.2"/>
    <n v="0"/>
    <n v="25.6"/>
    <n v="36"/>
    <n v="0"/>
    <n v="0"/>
    <n v="0"/>
    <n v="55"/>
    <e v="#DIV/0!"/>
    <e v="#DIV/0!"/>
    <e v="#DIV/0!"/>
    <e v="#DIV/0!"/>
    <e v="#DIV/0!"/>
    <n v="1550"/>
    <n v="19462"/>
    <n v="36854"/>
    <n v="1560"/>
    <n v="3640"/>
    <n v="31744.000000000007"/>
    <n v="8407.5840000000007"/>
    <n v="0"/>
    <n v="0"/>
    <n v="0"/>
    <n v="40151.58400000001"/>
    <n v="1000"/>
    <e v="#REF!"/>
  </r>
  <r>
    <x v="12"/>
    <x v="12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2"/>
    <x v="12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8.7719298245614041"/>
    <n v="8.7719298245614041"/>
    <n v="0"/>
    <n v="0"/>
    <n v="1.18"/>
    <n v="1.28"/>
    <n v="1.2"/>
    <n v="1.53"/>
    <n v="1.2"/>
    <n v="0"/>
    <n v="11.228070175438598"/>
    <n v="10.526315789473685"/>
    <n v="0"/>
    <n v="0"/>
    <n v="0"/>
    <n v="55"/>
    <e v="#DIV/0!"/>
    <e v="#DIV/0!"/>
    <e v="#DIV/0!"/>
    <e v="#DIV/0!"/>
    <e v="#DIV/0!"/>
    <n v="1550"/>
    <n v="19462"/>
    <n v="36854"/>
    <n v="1560"/>
    <n v="3640"/>
    <n v="13922.807017543862"/>
    <n v="2458.3578947368424"/>
    <n v="0"/>
    <n v="0"/>
    <n v="0"/>
    <n v="16381.164912280705"/>
    <n v="1000"/>
    <e v="#REF!"/>
  </r>
  <r>
    <x v="12"/>
    <x v="12"/>
    <s v="3(TARDE)"/>
    <m/>
    <m/>
    <m/>
    <m/>
    <m/>
    <n v="2.7891272727272725"/>
    <n v="0"/>
    <n v="4"/>
    <n v="4"/>
    <n v="0"/>
    <n v="0"/>
    <n v="0"/>
    <n v="35.087719298245617"/>
    <n v="35.087719298245617"/>
    <n v="0"/>
    <n v="0"/>
    <n v="0"/>
    <n v="61.403508771929751"/>
    <n v="61.403508771929751"/>
    <n v="0"/>
    <n v="0"/>
    <n v="1.18"/>
    <n v="1.28"/>
    <n v="1.2"/>
    <n v="1.53"/>
    <n v="1.2"/>
    <n v="0"/>
    <n v="78.596491228070079"/>
    <n v="73.684210526315695"/>
    <n v="0"/>
    <n v="0"/>
    <n v="153.40199999999999"/>
    <n v="55"/>
    <n v="0"/>
    <n v="512.35636581055064"/>
    <n v="480.33409294739118"/>
    <n v="0"/>
    <n v="0"/>
    <n v="1550"/>
    <n v="19462"/>
    <n v="36854"/>
    <n v="1560"/>
    <n v="3640"/>
    <n v="97459.649122806906"/>
    <n v="17208.505263157873"/>
    <n v="0"/>
    <n v="0"/>
    <n v="13959.582"/>
    <n v="128627.73638596477"/>
    <n v="1000"/>
    <e v="#REF!"/>
  </r>
  <r>
    <x v="13"/>
    <x v="13"/>
    <s v="1 (NOCHE)"/>
    <m/>
    <m/>
    <m/>
    <m/>
    <m/>
    <n v="5.3890545454545462"/>
    <n v="0"/>
    <n v="54"/>
    <n v="54"/>
    <n v="0"/>
    <n v="0"/>
    <n v="0"/>
    <n v="473.68421052631584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6.39800000000002"/>
    <n v="55"/>
    <n v="0"/>
    <n v="0"/>
    <n v="0"/>
    <n v="0"/>
    <n v="0"/>
    <n v="1550"/>
    <n v="19462"/>
    <n v="36854"/>
    <n v="1560"/>
    <n v="3640"/>
    <n v="0"/>
    <n v="0"/>
    <n v="0"/>
    <n v="0"/>
    <n v="26972.218000000004"/>
    <n v="26972.218000000004"/>
    <n v="1000"/>
    <e v="#REF!"/>
  </r>
  <r>
    <x v="13"/>
    <x v="13"/>
    <s v="2 (MAÑANA)"/>
    <m/>
    <m/>
    <m/>
    <m/>
    <m/>
    <n v="4.215672727272727"/>
    <n v="0"/>
    <n v="54"/>
    <n v="54"/>
    <n v="0"/>
    <n v="0"/>
    <n v="0"/>
    <n v="473.68421052631584"/>
    <n v="473.68421052631584"/>
    <n v="0"/>
    <n v="0"/>
    <n v="0"/>
    <n v="35.087719298245645"/>
    <n v="140.35087719298247"/>
    <n v="0"/>
    <n v="0"/>
    <n v="1.18"/>
    <n v="1.28"/>
    <n v="1.2"/>
    <n v="1.53"/>
    <n v="1.2"/>
    <n v="0"/>
    <n v="44.912280701754426"/>
    <n v="168.42105263157896"/>
    <n v="0"/>
    <n v="0"/>
    <n v="231.86199999999999"/>
    <n v="55"/>
    <n v="0"/>
    <n v="193.70263648961205"/>
    <n v="726.38488683604453"/>
    <n v="0"/>
    <n v="0"/>
    <n v="1550"/>
    <n v="19462"/>
    <n v="36854"/>
    <n v="1560"/>
    <n v="3640"/>
    <n v="55691.228070175493"/>
    <n v="39333.726315789478"/>
    <n v="0"/>
    <n v="0"/>
    <n v="21099.441999999999"/>
    <n v="116124.39638596497"/>
    <n v="1000"/>
    <e v="#REF!"/>
  </r>
  <r>
    <x v="13"/>
    <x v="13"/>
    <s v="3(TARDE)"/>
    <m/>
    <m/>
    <m/>
    <m/>
    <m/>
    <n v="7.3676000000000004"/>
    <n v="0"/>
    <n v="50"/>
    <n v="38"/>
    <n v="0"/>
    <n v="0"/>
    <n v="0"/>
    <n v="438.59649122807019"/>
    <n v="333.33333333333337"/>
    <n v="0"/>
    <n v="0"/>
    <n v="0"/>
    <n v="71.403508771929808"/>
    <n v="61.403508771929864"/>
    <n v="0"/>
    <n v="0"/>
    <n v="1.18"/>
    <n v="1.28"/>
    <n v="1.2"/>
    <n v="1.53"/>
    <n v="1.2"/>
    <n v="0"/>
    <n v="91.396491228070161"/>
    <n v="73.684210526315837"/>
    <n v="0"/>
    <n v="0"/>
    <n v="405.21800000000002"/>
    <n v="55"/>
    <n v="0"/>
    <n v="225.54894212021719"/>
    <n v="181.83844381620719"/>
    <n v="0"/>
    <n v="0"/>
    <n v="1550"/>
    <n v="19462"/>
    <n v="36854"/>
    <n v="1560"/>
    <n v="3640"/>
    <n v="113331.64912280701"/>
    <n v="17208.505263157906"/>
    <n v="0"/>
    <n v="0"/>
    <n v="36874.838000000003"/>
    <n v="167414.9923859649"/>
    <n v="1000"/>
    <e v="#REF!"/>
  </r>
  <r>
    <x v="14"/>
    <x v="14"/>
    <s v="1 (NOCHE)"/>
    <m/>
    <m/>
    <m/>
    <m/>
    <m/>
    <n v="8.327272727272728"/>
    <n v="0"/>
    <n v="43"/>
    <n v="31"/>
    <n v="0"/>
    <n v="0"/>
    <n v="0"/>
    <n v="377.19298245614038"/>
    <n v="271.92982456140351"/>
    <n v="0"/>
    <n v="0"/>
    <n v="0"/>
    <n v="26.31578947368422"/>
    <n v="17.543859649122794"/>
    <n v="0"/>
    <n v="0"/>
    <n v="1.18"/>
    <n v="1.28"/>
    <n v="1.2"/>
    <n v="1.53"/>
    <n v="1.2"/>
    <n v="0"/>
    <n v="33.684210526315802"/>
    <n v="21.052631578947352"/>
    <n v="0"/>
    <n v="0"/>
    <n v="458"/>
    <n v="55"/>
    <n v="0"/>
    <n v="73.546311192829265"/>
    <n v="45.966444495518239"/>
    <n v="0"/>
    <n v="0"/>
    <n v="1550"/>
    <n v="19462"/>
    <n v="36854"/>
    <n v="1560"/>
    <n v="3640"/>
    <n v="41768.421052631602"/>
    <n v="4916.7157894736802"/>
    <n v="0"/>
    <n v="0"/>
    <n v="41678.000000000007"/>
    <n v="88363.13684210529"/>
    <n v="1000"/>
    <e v="#REF!"/>
  </r>
  <r>
    <x v="14"/>
    <x v="14"/>
    <s v="2 (MAÑANA)"/>
    <m/>
    <m/>
    <m/>
    <m/>
    <m/>
    <n v="7.9636363636363638"/>
    <n v="0"/>
    <n v="40"/>
    <n v="29"/>
    <n v="0"/>
    <n v="0"/>
    <n v="0"/>
    <n v="350.87719298245617"/>
    <n v="254.38596491228071"/>
    <n v="0"/>
    <n v="0"/>
    <n v="0"/>
    <n v="35.087719298245645"/>
    <n v="78.94736842105263"/>
    <n v="0"/>
    <n v="0"/>
    <n v="1.18"/>
    <n v="1.28"/>
    <n v="1.2"/>
    <n v="1.53"/>
    <n v="1.2"/>
    <n v="0"/>
    <n v="44.912280701754426"/>
    <n v="94.73684210526315"/>
    <n v="0"/>
    <n v="0"/>
    <n v="438"/>
    <n v="55"/>
    <n v="0"/>
    <n v="102.53945365697358"/>
    <n v="216.29416005767843"/>
    <n v="0"/>
    <n v="0"/>
    <n v="1550"/>
    <n v="19462"/>
    <n v="36854"/>
    <n v="1560"/>
    <n v="3640"/>
    <n v="55691.228070175493"/>
    <n v="22125.221052631579"/>
    <n v="0"/>
    <n v="0"/>
    <n v="39858.000000000007"/>
    <n v="117674.44912280707"/>
    <n v="1000"/>
    <e v="#REF!"/>
  </r>
  <r>
    <x v="14"/>
    <x v="14"/>
    <s v="3(TARDE)"/>
    <m/>
    <m/>
    <m/>
    <m/>
    <m/>
    <n v="8.1538727272727272"/>
    <n v="0"/>
    <n v="36"/>
    <n v="20"/>
    <n v="0"/>
    <n v="0"/>
    <n v="0"/>
    <n v="315.78947368421052"/>
    <n v="175.43859649122808"/>
    <n v="0"/>
    <n v="0"/>
    <n v="0"/>
    <n v="35.087719298245588"/>
    <n v="43.859649122807014"/>
    <n v="0"/>
    <n v="0"/>
    <n v="1.18"/>
    <n v="1.28"/>
    <n v="1.2"/>
    <n v="1.53"/>
    <n v="1.2"/>
    <n v="0"/>
    <n v="44.912280701754355"/>
    <n v="52.631578947368418"/>
    <n v="0"/>
    <n v="0"/>
    <n v="448.46300000000002"/>
    <n v="55"/>
    <n v="0"/>
    <n v="100.14712629972674"/>
    <n v="117.35991363249235"/>
    <n v="0"/>
    <n v="0"/>
    <n v="1550"/>
    <n v="19462"/>
    <n v="36854"/>
    <n v="1560"/>
    <n v="3640"/>
    <n v="55691.228070175399"/>
    <n v="12291.78947368421"/>
    <n v="0"/>
    <n v="0"/>
    <n v="40810.133000000009"/>
    <n v="108793.15054385961"/>
    <n v="1000"/>
    <e v="#REF!"/>
  </r>
  <r>
    <x v="15"/>
    <x v="15"/>
    <s v="1 (NOCHE)"/>
    <m/>
    <m/>
    <m/>
    <m/>
    <m/>
    <n v="6.6536181818181817"/>
    <n v="0"/>
    <n v="32"/>
    <n v="15"/>
    <n v="0"/>
    <n v="0"/>
    <n v="0"/>
    <n v="280.70175438596493"/>
    <n v="131.57894736842107"/>
    <n v="0"/>
    <n v="0"/>
    <n v="0"/>
    <n v="17.543859649122794"/>
    <n v="35.087719298245617"/>
    <n v="0"/>
    <n v="0"/>
    <n v="1.18"/>
    <n v="1.28"/>
    <n v="1.2"/>
    <n v="1.53"/>
    <n v="1.2"/>
    <n v="0"/>
    <n v="22.456140350877178"/>
    <n v="42.10526315789474"/>
    <n v="0"/>
    <n v="0"/>
    <n v="365.94900000000001"/>
    <n v="55"/>
    <n v="0"/>
    <n v="61.364125467967327"/>
    <n v="115.05773525243883"/>
    <n v="0"/>
    <n v="0"/>
    <n v="1550"/>
    <n v="19462"/>
    <n v="36854"/>
    <n v="1560"/>
    <n v="3640"/>
    <n v="27845.614035087699"/>
    <n v="9833.4315789473694"/>
    <n v="0"/>
    <n v="0"/>
    <n v="33301.359000000004"/>
    <n v="70980.404614035069"/>
    <n v="1000"/>
    <e v="#REF!"/>
  </r>
  <r>
    <x v="15"/>
    <x v="15"/>
    <s v="2 (MAÑANA)"/>
    <m/>
    <m/>
    <m/>
    <m/>
    <m/>
    <n v="4.7499636363636366"/>
    <n v="0"/>
    <n v="30"/>
    <n v="11"/>
    <n v="0"/>
    <n v="0"/>
    <n v="0"/>
    <n v="263.15789473684214"/>
    <n v="96.491228070175453"/>
    <n v="0"/>
    <n v="0"/>
    <n v="0"/>
    <n v="26.31578947368422"/>
    <n v="17.543859649122822"/>
    <n v="0"/>
    <n v="0"/>
    <n v="1.18"/>
    <n v="1.28"/>
    <n v="1.2"/>
    <n v="1.53"/>
    <n v="1.2"/>
    <n v="0"/>
    <n v="33.684210526315802"/>
    <n v="21.052631578947388"/>
    <n v="0"/>
    <n v="0"/>
    <n v="261.24799999999999"/>
    <n v="55"/>
    <n v="0"/>
    <n v="128.93576420227447"/>
    <n v="80.584852626421593"/>
    <n v="0"/>
    <n v="0"/>
    <n v="1550"/>
    <n v="19462"/>
    <n v="36854"/>
    <n v="1560"/>
    <n v="3640"/>
    <n v="41768.421052631602"/>
    <n v="4916.7157894736883"/>
    <n v="0"/>
    <n v="0"/>
    <n v="23773.567999999999"/>
    <n v="70458.70484210529"/>
    <n v="1000"/>
    <e v="#REF!"/>
  </r>
  <r>
    <x v="15"/>
    <x v="15"/>
    <s v="3(TARDE)"/>
    <m/>
    <m/>
    <m/>
    <m/>
    <m/>
    <n v="3.8919272727272731"/>
    <n v="0"/>
    <n v="27"/>
    <n v="9"/>
    <n v="0"/>
    <n v="0"/>
    <n v="0"/>
    <n v="236.84210526315792"/>
    <n v="78.94736842105263"/>
    <n v="0"/>
    <n v="0"/>
    <n v="0"/>
    <n v="8.7719298245614254"/>
    <n v="17.543859649122801"/>
    <n v="0"/>
    <n v="0"/>
    <n v="1.18"/>
    <n v="1.28"/>
    <n v="1.2"/>
    <n v="1.53"/>
    <n v="1.2"/>
    <n v="0"/>
    <n v="11.228070175438624"/>
    <n v="21.052631578947359"/>
    <n v="0"/>
    <n v="0"/>
    <n v="214.05600000000001"/>
    <n v="55"/>
    <n v="0"/>
    <n v="52.453891390283964"/>
    <n v="98.351046356782135"/>
    <n v="0"/>
    <n v="0"/>
    <n v="1550"/>
    <n v="19462"/>
    <n v="36854"/>
    <n v="1560"/>
    <n v="3640"/>
    <n v="13922.807017543895"/>
    <n v="4916.715789473682"/>
    <n v="0"/>
    <n v="0"/>
    <n v="19479.096000000001"/>
    <n v="38318.618807017578"/>
    <n v="1000"/>
    <e v="#REF!"/>
  </r>
  <r>
    <x v="16"/>
    <x v="16"/>
    <s v="1 (NOCHE)"/>
    <m/>
    <m/>
    <m/>
    <m/>
    <m/>
    <n v="6.3793818181818178"/>
    <n v="0"/>
    <n v="26"/>
    <n v="7"/>
    <n v="0"/>
    <n v="0"/>
    <n v="0"/>
    <n v="228.07017543859649"/>
    <n v="61.403508771929829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350.86599999999999"/>
    <n v="55"/>
    <n v="0"/>
    <n v="64.00204166512907"/>
    <n v="0"/>
    <n v="0"/>
    <n v="0"/>
    <n v="1550"/>
    <n v="19462"/>
    <n v="36854"/>
    <n v="1560"/>
    <n v="3640"/>
    <n v="27845.614035087699"/>
    <n v="0"/>
    <n v="0"/>
    <n v="0"/>
    <n v="31928.805999999997"/>
    <n v="59774.420035087693"/>
    <n v="1000"/>
    <e v="#REF!"/>
  </r>
  <r>
    <x v="16"/>
    <x v="16"/>
    <s v="2 (MAÑANA)"/>
    <m/>
    <m/>
    <m/>
    <m/>
    <m/>
    <n v="2.0434545454545456"/>
    <n v="0"/>
    <n v="24"/>
    <n v="7"/>
    <n v="0"/>
    <n v="0"/>
    <n v="0"/>
    <n v="210.5263157894737"/>
    <n v="61.403508771929829"/>
    <n v="0"/>
    <n v="0"/>
    <n v="0"/>
    <n v="17.543859649122794"/>
    <n v="17.543859649122808"/>
    <n v="0"/>
    <n v="0"/>
    <n v="1.18"/>
    <n v="1.28"/>
    <n v="1.2"/>
    <n v="1.53"/>
    <n v="1.2"/>
    <n v="0"/>
    <n v="22.456140350877178"/>
    <n v="21.05263157894737"/>
    <n v="0"/>
    <n v="0"/>
    <n v="112.39"/>
    <n v="55"/>
    <n v="0"/>
    <n v="199.80550183181046"/>
    <n v="187.31765796732245"/>
    <n v="0"/>
    <n v="0"/>
    <n v="1550"/>
    <n v="19462"/>
    <n v="36854"/>
    <n v="1560"/>
    <n v="3640"/>
    <n v="27845.614035087699"/>
    <n v="4916.7157894736847"/>
    <n v="0"/>
    <n v="0"/>
    <n v="10227.490000000002"/>
    <n v="42989.819824561389"/>
    <n v="1000"/>
    <e v="#REF!"/>
  </r>
  <r>
    <x v="16"/>
    <x v="16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1 (NOCH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2 (MAÑANA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17.543859649122808"/>
    <n v="0"/>
    <n v="0"/>
    <n v="1.18"/>
    <n v="1.28"/>
    <n v="1.2"/>
    <n v="1.53"/>
    <n v="1.2"/>
    <n v="0"/>
    <n v="0"/>
    <n v="21.05263157894737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4916.7157894736847"/>
    <n v="0"/>
    <n v="0"/>
    <n v="0"/>
    <n v="4916.7157894736847"/>
    <n v="1000"/>
    <e v="#REF!"/>
  </r>
  <r>
    <x v="18"/>
    <x v="18"/>
    <s v="1 (NOCH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8"/>
    <x v="18"/>
    <s v="2 (MAÑANA)"/>
    <m/>
    <m/>
    <m/>
    <m/>
    <m/>
    <n v="4.6788181818181815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33499999999998"/>
    <n v="55"/>
    <n v="0"/>
    <n v="0"/>
    <n v="0"/>
    <n v="0"/>
    <n v="0"/>
    <n v="1550"/>
    <n v="19462"/>
    <n v="36854"/>
    <n v="1560"/>
    <n v="3640"/>
    <n v="0"/>
    <n v="0"/>
    <n v="0"/>
    <n v="0"/>
    <n v="23417.485000000001"/>
    <n v="23417.485000000001"/>
    <n v="1000"/>
    <e v="#REF!"/>
  </r>
  <r>
    <x v="18"/>
    <x v="18"/>
    <s v="3(TARD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9"/>
    <x v="19"/>
    <s v="1 (NOCHE)"/>
    <m/>
    <m/>
    <m/>
    <m/>
    <m/>
    <n v="2.76047272727272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n v="55"/>
    <n v="0"/>
    <n v="0"/>
    <n v="0"/>
    <n v="0"/>
    <n v="0"/>
    <n v="1550"/>
    <n v="19462"/>
    <n v="36854"/>
    <n v="1560"/>
    <n v="3640"/>
    <n v="0"/>
    <n v="0"/>
    <n v="0"/>
    <n v="0"/>
    <n v="13816.166000000001"/>
    <n v="13816.166000000001"/>
    <n v="1000"/>
    <e v="#REF!"/>
  </r>
  <r>
    <x v="19"/>
    <x v="19"/>
    <s v="2 (MAÑANA)"/>
    <m/>
    <m/>
    <m/>
    <m/>
    <m/>
    <n v="2.76047272727272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n v="55"/>
    <n v="0"/>
    <n v="0"/>
    <n v="0"/>
    <n v="0"/>
    <n v="0"/>
    <n v="1550"/>
    <n v="19462"/>
    <n v="36854"/>
    <n v="1560"/>
    <n v="3640"/>
    <n v="0"/>
    <n v="0"/>
    <n v="0"/>
    <n v="0"/>
    <n v="13816.166000000001"/>
    <n v="13816.166000000001"/>
    <n v="1000"/>
    <e v="#REF!"/>
  </r>
  <r>
    <x v="19"/>
    <x v="19"/>
    <s v="3(TARDE)"/>
    <m/>
    <m/>
    <m/>
    <m/>
    <m/>
    <n v="5.329054545454545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3.09800000000001"/>
    <n v="55"/>
    <n v="0"/>
    <n v="0"/>
    <n v="0"/>
    <n v="0"/>
    <n v="0"/>
    <n v="1550"/>
    <n v="19462"/>
    <n v="36854"/>
    <n v="1560"/>
    <n v="3640"/>
    <n v="0"/>
    <n v="0"/>
    <n v="0"/>
    <n v="0"/>
    <n v="26671.918000000001"/>
    <n v="26671.918000000001"/>
    <n v="1000"/>
    <e v="#REF!"/>
  </r>
  <r>
    <x v="20"/>
    <x v="20"/>
    <s v="1 (NOCHE)"/>
    <m/>
    <m/>
    <m/>
    <m/>
    <m/>
    <n v="8.3940181818181809"/>
    <n v="0"/>
    <n v="22"/>
    <n v="3"/>
    <n v="0"/>
    <n v="0"/>
    <n v="0"/>
    <n v="192.98245614035091"/>
    <n v="26.315789473684212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461.67099999999999"/>
    <n v="55"/>
    <n v="0"/>
    <n v="72.961504028444068"/>
    <n v="0"/>
    <n v="0"/>
    <n v="0"/>
    <n v="1550"/>
    <n v="19462"/>
    <n v="36854"/>
    <n v="1560"/>
    <n v="3640"/>
    <n v="41768.421052631602"/>
    <n v="0"/>
    <n v="0"/>
    <n v="0"/>
    <n v="42012.061000000002"/>
    <n v="83780.482052631603"/>
    <n v="1000"/>
    <n v="181.47226499527068"/>
  </r>
  <r>
    <x v="20"/>
    <x v="20"/>
    <s v="2 (MAÑANA)"/>
    <m/>
    <m/>
    <m/>
    <m/>
    <m/>
    <n v="4.990018181818181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4.45100000000002"/>
    <n v="55"/>
    <n v="0"/>
    <n v="0"/>
    <n v="0"/>
    <n v="0"/>
    <n v="0"/>
    <n v="1550"/>
    <n v="19462"/>
    <n v="36854"/>
    <n v="1560"/>
    <n v="3640"/>
    <n v="0"/>
    <n v="0"/>
    <n v="0"/>
    <n v="0"/>
    <n v="24975.041000000005"/>
    <n v="24975.041000000005"/>
    <n v="1000"/>
    <e v="#REF!"/>
  </r>
  <r>
    <x v="20"/>
    <x v="20"/>
    <s v="3(TARDE)"/>
    <m/>
    <m/>
    <m/>
    <m/>
    <m/>
    <n v="3.11805454545454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71.49299999999999"/>
    <n v="55"/>
    <n v="0"/>
    <n v="0"/>
    <n v="0"/>
    <n v="0"/>
    <n v="0"/>
    <n v="1550"/>
    <n v="19462"/>
    <n v="36854"/>
    <n v="1560"/>
    <n v="3640"/>
    <n v="0"/>
    <n v="0"/>
    <n v="0"/>
    <n v="0"/>
    <n v="15605.862999999999"/>
    <n v="15605.862999999999"/>
    <n v="1000"/>
    <n v="91"/>
  </r>
  <r>
    <x v="21"/>
    <x v="21"/>
    <s v="1 (NOCHE)"/>
    <m/>
    <m/>
    <m/>
    <m/>
    <m/>
    <n v="4.57421818181818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1.58199999999999"/>
    <n v="55"/>
    <n v="0"/>
    <n v="0"/>
    <n v="0"/>
    <n v="0"/>
    <n v="0"/>
    <n v="1550"/>
    <n v="19462"/>
    <n v="36854"/>
    <n v="1560"/>
    <n v="3640"/>
    <n v="0"/>
    <n v="0"/>
    <n v="0"/>
    <n v="0"/>
    <n v="22893.962"/>
    <n v="22893.962"/>
    <n v="1000"/>
    <n v="91"/>
  </r>
  <r>
    <x v="21"/>
    <x v="21"/>
    <s v="2 (MAÑANA)"/>
    <m/>
    <m/>
    <m/>
    <m/>
    <m/>
    <n v="6.620327272727272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11799999999999"/>
    <n v="55"/>
    <n v="0"/>
    <n v="0"/>
    <n v="0"/>
    <n v="0"/>
    <n v="0"/>
    <n v="1550"/>
    <n v="19462"/>
    <n v="36854"/>
    <n v="1560"/>
    <n v="3640"/>
    <n v="0"/>
    <n v="0"/>
    <n v="0"/>
    <n v="0"/>
    <n v="33134.737999999998"/>
    <n v="33134.737999999998"/>
    <n v="1000"/>
    <n v="91"/>
  </r>
  <r>
    <x v="21"/>
    <x v="21"/>
    <s v="3(TARDE)"/>
    <m/>
    <m/>
    <m/>
    <m/>
    <m/>
    <n v="4.7865636363636366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3.26100000000002"/>
    <n v="55"/>
    <n v="0"/>
    <n v="0"/>
    <n v="0"/>
    <n v="0"/>
    <n v="0"/>
    <n v="1550"/>
    <n v="19462"/>
    <n v="36854"/>
    <n v="1560"/>
    <n v="3640"/>
    <n v="0"/>
    <n v="0"/>
    <n v="0"/>
    <n v="0"/>
    <n v="23956.751000000004"/>
    <n v="23956.751000000004"/>
    <n v="1000"/>
    <n v="91"/>
  </r>
  <r>
    <x v="22"/>
    <x v="22"/>
    <s v="1 (NOCHE)"/>
    <m/>
    <m/>
    <m/>
    <m/>
    <m/>
    <n v="1.99965454545454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9.98099999999999"/>
    <n v="55"/>
    <n v="0"/>
    <n v="0"/>
    <n v="0"/>
    <n v="0"/>
    <n v="0"/>
    <n v="1550"/>
    <n v="19462"/>
    <n v="36854"/>
    <n v="1560"/>
    <n v="3640"/>
    <n v="0"/>
    <n v="0"/>
    <n v="0"/>
    <n v="0"/>
    <n v="10008.271000000001"/>
    <n v="10008.271000000001"/>
    <n v="1000"/>
    <n v="91.000000000000014"/>
  </r>
  <r>
    <x v="22"/>
    <x v="22"/>
    <s v="2 (MAÑANA)"/>
    <m/>
    <m/>
    <m/>
    <m/>
    <m/>
    <n v="1.138472727272727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62.616"/>
    <n v="55"/>
    <n v="0"/>
    <n v="0"/>
    <n v="0"/>
    <n v="0"/>
    <n v="0"/>
    <n v="1550"/>
    <n v="19462"/>
    <n v="36854"/>
    <n v="1560"/>
    <n v="3640"/>
    <n v="0"/>
    <n v="0"/>
    <n v="0"/>
    <n v="0"/>
    <n v="5698.0560000000005"/>
    <n v="5698.0560000000005"/>
    <n v="1000"/>
    <n v="91.000000000000014"/>
  </r>
  <r>
    <x v="22"/>
    <x v="22"/>
    <s v="3(TARDE)"/>
    <m/>
    <m/>
    <m/>
    <m/>
    <m/>
    <n v="7.338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03.63400000000001"/>
    <n v="55"/>
    <n v="0"/>
    <n v="0"/>
    <n v="0"/>
    <n v="0"/>
    <n v="0"/>
    <n v="1550"/>
    <n v="19462"/>
    <n v="36854"/>
    <n v="1560"/>
    <n v="3640"/>
    <n v="0"/>
    <n v="0"/>
    <n v="0"/>
    <n v="0"/>
    <n v="36730.694000000003"/>
    <n v="36730.694000000003"/>
    <n v="1000"/>
    <n v="91"/>
  </r>
  <r>
    <x v="23"/>
    <x v="23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3"/>
    <x v="23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3"/>
    <x v="23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5"/>
    <x v="25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70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5"/>
    <x v="25"/>
    <s v="2 (MAÑANA)"/>
    <m/>
    <m/>
    <m/>
    <m/>
    <m/>
    <n v="5.200457142857142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03199999999998"/>
    <n v="70"/>
    <n v="0"/>
    <n v="0"/>
    <n v="0"/>
    <n v="0"/>
    <n v="0"/>
    <n v="1550"/>
    <n v="19462"/>
    <n v="36854"/>
    <n v="1560"/>
    <n v="3640"/>
    <n v="0"/>
    <n v="0"/>
    <n v="0"/>
    <n v="0"/>
    <n v="33126.911999999997"/>
    <n v="33126.911999999997"/>
    <n v="1000"/>
    <n v="91"/>
  </r>
  <r>
    <x v="25"/>
    <x v="25"/>
    <s v="3(TARDE)"/>
    <m/>
    <m/>
    <m/>
    <m/>
    <m/>
    <n v="1.115542857142856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78.087999999999994"/>
    <n v="70"/>
    <n v="0"/>
    <n v="0"/>
    <n v="0"/>
    <n v="0"/>
    <n v="0"/>
    <n v="1550"/>
    <n v="19462"/>
    <n v="36854"/>
    <n v="1560"/>
    <n v="3640"/>
    <n v="0"/>
    <n v="0"/>
    <n v="0"/>
    <n v="0"/>
    <n v="7106.0079999999998"/>
    <n v="7106.0079999999998"/>
    <n v="1000"/>
    <n v="91"/>
  </r>
  <r>
    <x v="26"/>
    <x v="26"/>
    <s v="1 (NOCHE)"/>
    <m/>
    <m/>
    <m/>
    <m/>
    <m/>
    <n v="2.744303030303030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1.124"/>
    <n v="66"/>
    <n v="0"/>
    <n v="0"/>
    <n v="0"/>
    <n v="0"/>
    <n v="0"/>
    <n v="1550"/>
    <n v="19462"/>
    <n v="36854"/>
    <n v="1560"/>
    <n v="3640"/>
    <n v="0"/>
    <n v="0"/>
    <n v="0"/>
    <n v="0"/>
    <n v="16482.284"/>
    <n v="16482.284"/>
    <n v="1000"/>
    <n v="91"/>
  </r>
  <r>
    <x v="26"/>
    <x v="26"/>
    <s v="2 (MAÑANA)"/>
    <m/>
    <m/>
    <m/>
    <m/>
    <m/>
    <n v="2.839742424242424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7.423"/>
    <n v="66"/>
    <n v="0"/>
    <n v="0"/>
    <n v="0"/>
    <n v="0"/>
    <n v="0"/>
    <n v="1550"/>
    <n v="19462"/>
    <n v="36854"/>
    <n v="1560"/>
    <n v="3640"/>
    <n v="0"/>
    <n v="0"/>
    <n v="0"/>
    <n v="0"/>
    <n v="17055.492999999999"/>
    <n v="17055.492999999999"/>
    <n v="1000"/>
    <n v="90.999999999999986"/>
  </r>
  <r>
    <x v="26"/>
    <x v="26"/>
    <s v="3(TARDE)"/>
    <m/>
    <m/>
    <m/>
    <m/>
    <m/>
    <n v="4.113196969696970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1.471"/>
    <n v="66"/>
    <n v="0"/>
    <n v="0"/>
    <n v="0"/>
    <n v="0"/>
    <n v="0"/>
    <n v="1550"/>
    <n v="19462"/>
    <n v="36854"/>
    <n v="1560"/>
    <n v="3640"/>
    <n v="0"/>
    <n v="0"/>
    <n v="0"/>
    <n v="0"/>
    <n v="24703.861000000001"/>
    <n v="24703.861000000001"/>
    <n v="1000"/>
    <n v="91"/>
  </r>
  <r>
    <x v="27"/>
    <x v="27"/>
    <s v="1 (NOCHE)"/>
    <m/>
    <m/>
    <m/>
    <m/>
    <m/>
    <n v="7.91398461538461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14.40899999999999"/>
    <n v="65"/>
    <n v="0"/>
    <n v="0"/>
    <n v="0"/>
    <n v="0"/>
    <n v="0"/>
    <n v="1550"/>
    <n v="19462"/>
    <n v="36854"/>
    <n v="1560"/>
    <n v="3640"/>
    <n v="0"/>
    <n v="0"/>
    <n v="0"/>
    <n v="0"/>
    <n v="46811.218999999997"/>
    <n v="46811.218999999997"/>
    <n v="1000"/>
    <n v="91"/>
  </r>
  <r>
    <x v="27"/>
    <x v="27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6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7"/>
    <x v="27"/>
    <s v="3(TARDE)"/>
    <m/>
    <m/>
    <m/>
    <m/>
    <m/>
    <n v="8.069707692307691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24.53099999999995"/>
    <n v="65"/>
    <n v="0"/>
    <n v="0"/>
    <n v="0"/>
    <n v="0"/>
    <n v="0"/>
    <n v="1550"/>
    <n v="19462"/>
    <n v="36854"/>
    <n v="1560"/>
    <n v="3640"/>
    <n v="0"/>
    <n v="0"/>
    <n v="0"/>
    <n v="0"/>
    <n v="47732.320999999996"/>
    <n v="47732.320999999996"/>
    <n v="1000"/>
    <n v="91"/>
  </r>
  <r>
    <x v="28"/>
    <x v="28"/>
    <s v="1 (NOCHE)"/>
    <m/>
    <m/>
    <m/>
    <m/>
    <m/>
    <n v="8.836660000000000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1.83300000000003"/>
    <n v="50"/>
    <n v="0"/>
    <n v="0"/>
    <n v="0"/>
    <n v="0"/>
    <n v="0"/>
    <n v="1550"/>
    <n v="19462"/>
    <n v="36854"/>
    <n v="1560"/>
    <n v="3640"/>
    <n v="0"/>
    <n v="0"/>
    <n v="0"/>
    <n v="0"/>
    <n v="40206.803"/>
    <n v="40206.803"/>
    <n v="1000"/>
    <n v="91"/>
  </r>
  <r>
    <x v="28"/>
    <x v="28"/>
    <s v="2 (MAÑANA)"/>
    <m/>
    <m/>
    <m/>
    <m/>
    <m/>
    <n v="4.875246153846154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16.89100000000002"/>
    <n v="65"/>
    <n v="0"/>
    <n v="0"/>
    <n v="0"/>
    <n v="0"/>
    <n v="0"/>
    <n v="1550"/>
    <n v="19462"/>
    <n v="36854"/>
    <n v="1560"/>
    <n v="3640"/>
    <n v="0"/>
    <n v="0"/>
    <n v="0"/>
    <n v="0"/>
    <n v="28837.081000000002"/>
    <n v="28837.081000000002"/>
    <n v="1000"/>
    <n v="91"/>
  </r>
  <r>
    <x v="28"/>
    <x v="28"/>
    <s v="3(TARDE)"/>
    <m/>
    <m/>
    <m/>
    <m/>
    <m/>
    <n v="5.016213114754098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5.98899999999998"/>
    <n v="61"/>
    <n v="0"/>
    <n v="0"/>
    <n v="0"/>
    <n v="0"/>
    <n v="0"/>
    <n v="1550"/>
    <n v="19462"/>
    <n v="36854"/>
    <n v="1560"/>
    <n v="3640"/>
    <n v="0"/>
    <n v="0"/>
    <n v="0"/>
    <n v="0"/>
    <n v="27844.999"/>
    <n v="27844.999"/>
    <n v="1000"/>
    <n v="91"/>
  </r>
  <r>
    <x v="29"/>
    <x v="29"/>
    <s v="1 (NOCHE)"/>
    <m/>
    <m/>
    <m/>
    <m/>
    <m/>
    <n v="8.40688333333333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04.41300000000001"/>
    <n v="60"/>
    <n v="0"/>
    <n v="0"/>
    <n v="0"/>
    <n v="0"/>
    <n v="0"/>
    <n v="1550"/>
    <n v="19462"/>
    <n v="36854"/>
    <n v="1560"/>
    <n v="3640"/>
    <n v="0"/>
    <n v="0"/>
    <n v="0"/>
    <n v="0"/>
    <n v="45901.583000000006"/>
    <n v="45901.583000000006"/>
    <n v="1000"/>
    <n v="91.000000000000014"/>
  </r>
  <r>
    <x v="29"/>
    <x v="29"/>
    <s v="2 (MAÑANA)"/>
    <m/>
    <m/>
    <m/>
    <m/>
    <m/>
    <n v="5.108416666666666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6.505"/>
    <n v="60"/>
    <n v="0"/>
    <n v="0"/>
    <n v="0"/>
    <n v="0"/>
    <n v="0"/>
    <n v="1550"/>
    <n v="19462"/>
    <n v="36854"/>
    <n v="1560"/>
    <n v="3640"/>
    <n v="0"/>
    <n v="0"/>
    <n v="0"/>
    <n v="0"/>
    <n v="27891.955000000002"/>
    <n v="27891.955000000002"/>
    <n v="1000"/>
    <n v="91"/>
  </r>
  <r>
    <x v="29"/>
    <x v="29"/>
    <s v="3(TARDE)"/>
    <m/>
    <m/>
    <m/>
    <m/>
    <m/>
    <n v="7.437316666666665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6.23899999999998"/>
    <n v="60"/>
    <n v="0"/>
    <n v="0"/>
    <n v="0"/>
    <n v="0"/>
    <n v="0"/>
    <n v="1550"/>
    <n v="19462"/>
    <n v="36854"/>
    <n v="1560"/>
    <n v="3640"/>
    <n v="0"/>
    <n v="0"/>
    <n v="0"/>
    <n v="0"/>
    <n v="40607.748999999996"/>
    <n v="40607.748999999996"/>
    <n v="1000"/>
    <n v="91"/>
  </r>
  <r>
    <x v="30"/>
    <x v="30"/>
    <s v="1 (NOCHE)"/>
    <m/>
    <m/>
    <m/>
    <m/>
    <m/>
    <n v="8.4615384615384617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0"/>
    <n v="52"/>
    <n v="0"/>
    <n v="0"/>
    <n v="0"/>
    <n v="0"/>
    <n v="0"/>
    <n v="1550"/>
    <n v="19462"/>
    <n v="36854"/>
    <n v="1560"/>
    <n v="3640"/>
    <n v="0"/>
    <n v="0"/>
    <n v="0"/>
    <n v="0"/>
    <n v="40040"/>
    <n v="40040"/>
    <n v="1000"/>
    <n v="91"/>
  </r>
  <r>
    <x v="30"/>
    <x v="30"/>
    <s v="2 (MAÑANA)"/>
    <m/>
    <m/>
    <m/>
    <m/>
    <m/>
    <n v="4.096781818181818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25.32300000000001"/>
    <n v="55"/>
    <n v="0"/>
    <n v="0"/>
    <n v="0"/>
    <n v="0"/>
    <n v="0"/>
    <n v="1550"/>
    <n v="19462"/>
    <n v="36854"/>
    <n v="1560"/>
    <n v="3640"/>
    <n v="0"/>
    <n v="0"/>
    <n v="0"/>
    <n v="0"/>
    <n v="20504.393000000004"/>
    <n v="20504.393000000004"/>
    <n v="1000"/>
    <n v="91.000000000000014"/>
  </r>
  <r>
    <x v="30"/>
    <x v="30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31"/>
    <x v="31"/>
    <m/>
    <m/>
    <m/>
    <m/>
    <m/>
    <m/>
    <n v="0"/>
    <n v="0"/>
    <n v="45"/>
    <n v="37"/>
    <n v="0"/>
    <n v="0"/>
    <n v="0"/>
    <n v="394.73684210526318"/>
    <n v="324.56140350877195"/>
    <n v="0"/>
    <n v="0"/>
    <n v="0"/>
    <n v="394.73684210526318"/>
    <n v="324.56140350877195"/>
    <n v="0"/>
    <n v="0"/>
    <m/>
    <m/>
    <m/>
    <m/>
    <m/>
    <n v="0"/>
    <n v="0"/>
    <n v="0"/>
    <n v="0"/>
    <n v="0"/>
    <m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m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452-6403-4D7B-902A-DAA0A37FFAD5}" name="TablaDinámica4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36" firstHeaderRow="0" firstDataRow="1" firstDataCol="1"/>
  <pivotFields count="63">
    <pivotField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34" baseField="0" baseItem="0"/>
    <dataField name="TIEMPO DE OPERACIÓN" fld="8" baseField="0" baseItem="0" numFmtId="2"/>
    <dataField name="COSTO QUIMICA  " fld="51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28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27" rowHeaderCaption="DIA">
  <location ref="AJ4:AM33" firstHeaderRow="0" firstDataRow="1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4" subtotal="min" baseField="0" baseItem="0" numFmtId="166"/>
  </dataFields>
  <formats count="35">
    <format dxfId="450">
      <pivotArea outline="0" collapsedLevelsAreSubtotals="1" fieldPosition="0"/>
    </format>
    <format dxfId="4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8">
      <pivotArea outline="0" collapsedLevelsAreSubtotals="1" fieldPosition="0"/>
    </format>
    <format dxfId="4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field="1" type="button" dataOnly="0" labelOnly="1" outline="0" axis="axisRow" fieldPosition="0"/>
    </format>
    <format dxfId="44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1">
      <pivotArea dataOnly="0" labelOnly="1" grandRow="1" outline="0" fieldPosition="0"/>
    </format>
    <format dxfId="4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field="1" type="button" dataOnly="0" labelOnly="1" outline="0" axis="axisRow" fieldPosition="0"/>
    </format>
    <format dxfId="43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35">
      <pivotArea dataOnly="0" labelOnly="1" grandRow="1" outline="0" fieldPosition="0"/>
    </format>
    <format dxfId="4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30">
      <pivotArea dataOnly="0" labelOnly="1" grandRow="1" outline="0" fieldPosition="0"/>
    </format>
    <format dxfId="429">
      <pivotArea field="1" type="button" dataOnly="0" labelOnly="1" outline="0" axis="axisRow" fieldPosition="0"/>
    </format>
    <format dxfId="4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7">
      <pivotArea type="all" dataOnly="0" outline="0" fieldPosition="0"/>
    </format>
    <format dxfId="426">
      <pivotArea outline="0" collapsedLevelsAreSubtotals="1" fieldPosition="0"/>
    </format>
    <format dxfId="425">
      <pivotArea field="1" type="button" dataOnly="0" labelOnly="1" outline="0" axis="axisRow" fieldPosition="0"/>
    </format>
    <format dxfId="42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23">
      <pivotArea dataOnly="0" labelOnly="1" grandRow="1" outline="0" fieldPosition="0"/>
    </format>
    <format dxfId="4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19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70FC-172B-4311-A5CA-3A69E29C0D11}" name="TablaDinámica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Y4:BA36" firstHeaderRow="0" firstDataRow="1" firstDataCol="1"/>
  <pivotFields count="63">
    <pivotField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34" baseField="0" baseItem="0"/>
    <dataField name="TIEMPO DE OPERACIÓN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29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62" rowHeaderCaption="DÍA">
  <location ref="AT4:AW36" firstHeaderRow="0" firstDataRow="1" firstDataCol="1"/>
  <pivotFields count="63">
    <pivotField numFmtId="14"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x="31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34" baseField="0" baseItem="0"/>
    <dataField name=" LIMITE INDICADOR M3" fld="52" subtotal="min" baseField="0" baseItem="0" numFmtId="167"/>
    <dataField name=" INDICADOR $m3 RO" fld="54" baseField="0" baseItem="0" numFmtId="166"/>
  </dataFields>
  <formats count="3">
    <format dxfId="453">
      <pivotArea field="1" type="button" dataOnly="0" labelOnly="1" outline="0" axis="axisRow" fieldPosition="0"/>
    </format>
    <format dxfId="4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1EE-9494-41C8-A64E-C25951BC636A}" name="TablaDinámica9" cacheId="28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9" rowHeaderCaption="DIA">
  <location ref="AP4:AR33" firstHeaderRow="0" firstDataRow="1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HORAS DE OPERACIÓN " fld="46" baseField="0" baseItem="0"/>
  </dataFields>
  <formats count="23">
    <format dxfId="476">
      <pivotArea outline="0" collapsedLevelsAreSubtotals="1" fieldPosition="0"/>
    </format>
    <format dxfId="475">
      <pivotArea outline="0" collapsedLevelsAreSubtotals="1" fieldPosition="0"/>
    </format>
    <format dxfId="474">
      <pivotArea type="all" dataOnly="0" outline="0" fieldPosition="0"/>
    </format>
    <format dxfId="473">
      <pivotArea outline="0" collapsedLevelsAreSubtotals="1" fieldPosition="0"/>
    </format>
    <format dxfId="472">
      <pivotArea field="1" type="button" dataOnly="0" labelOnly="1" outline="0" axis="axisRow" fieldPosition="0"/>
    </format>
    <format dxfId="47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70">
      <pivotArea dataOnly="0" labelOnly="1" grandRow="1" outline="0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field="1" type="button" dataOnly="0" labelOnly="1" outline="0" axis="axisRow" fieldPosition="0"/>
    </format>
    <format dxfId="46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65">
      <pivotArea dataOnly="0" labelOnly="1" grandRow="1" outline="0" fieldPosition="0"/>
    </format>
    <format dxfId="464">
      <pivotArea type="all" dataOnly="0" outline="0" fieldPosition="0"/>
    </format>
    <format dxfId="463">
      <pivotArea outline="0" collapsedLevelsAreSubtotals="1" fieldPosition="0"/>
    </format>
    <format dxfId="46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61">
      <pivotArea dataOnly="0" labelOnly="1" grandRow="1" outline="0" fieldPosition="0"/>
    </format>
    <format dxfId="460">
      <pivotArea field="1" type="button" dataOnly="0" labelOnly="1" outline="0" axis="axisRow" fieldPosition="0"/>
    </format>
    <format dxfId="459">
      <pivotArea type="all" dataOnly="0" outline="0" fieldPosition="0"/>
    </format>
    <format dxfId="458">
      <pivotArea outline="0" collapsedLevelsAreSubtotals="1" fieldPosition="0"/>
    </format>
    <format dxfId="457">
      <pivotArea field="1" type="button" dataOnly="0" labelOnly="1" outline="0" axis="axisRow" fieldPosition="0"/>
    </format>
    <format dxfId="45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55">
      <pivotArea dataOnly="0" labelOnly="1" grandRow="1" outline="0" fieldPosition="0"/>
    </format>
    <format dxfId="45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6B5F-45CD-412F-BF77-980020224C02}" name="TablaDinámica5" cacheId="28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33" firstHeaderRow="0" firstDataRow="1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3" baseField="0" baseItem="0"/>
  </dataFields>
  <formats count="24">
    <format dxfId="500">
      <pivotArea outline="0" collapsedLevelsAreSubtotals="1" fieldPosition="0"/>
    </format>
    <format dxfId="499">
      <pivotArea outline="0" collapsedLevelsAreSubtotals="1" fieldPosition="0"/>
    </format>
    <format dxfId="498">
      <pivotArea type="all" dataOnly="0" outline="0" fieldPosition="0"/>
    </format>
    <format dxfId="497">
      <pivotArea outline="0" collapsedLevelsAreSubtotals="1" fieldPosition="0"/>
    </format>
    <format dxfId="496">
      <pivotArea field="1" type="button" dataOnly="0" labelOnly="1" outline="0" axis="axisRow" fieldPosition="0"/>
    </format>
    <format dxfId="49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94">
      <pivotArea dataOnly="0" labelOnly="1" grandRow="1" outline="0" fieldPosition="0"/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field="1" type="button" dataOnly="0" labelOnly="1" outline="0" axis="axisRow" fieldPosition="0"/>
    </format>
    <format dxfId="49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89">
      <pivotArea dataOnly="0" labelOnly="1" grandRow="1" outline="0" fieldPosition="0"/>
    </format>
    <format dxfId="488">
      <pivotArea type="all" dataOnly="0" outline="0" fieldPosition="0"/>
    </format>
    <format dxfId="487">
      <pivotArea outline="0" collapsedLevelsAreSubtotals="1" fieldPosition="0"/>
    </format>
    <format dxfId="48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85">
      <pivotArea dataOnly="0" labelOnly="1" grandRow="1" outline="0" fieldPosition="0"/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81">
      <pivotArea dataOnly="0" labelOnly="1" grandRow="1" outline="0" fieldPosition="0"/>
    </format>
    <format dxfId="4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478">
      <pivotArea field="1" type="button" dataOnly="0" labelOnly="1" outline="0" axis="axisRow" fieldPosition="0"/>
    </format>
    <format dxfId="477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B3D3-1C65-4A13-8A25-264C8AB3668A}" name="TablaDinámica10" cacheId="28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6" rowHeaderCaption="DIA">
  <location ref="AT3:AZ32" firstHeaderRow="0" firstDataRow="1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7"/>
    <dataField name="INDICADOR $ACIDO/M3 " fld="58" baseField="0" baseItem="0" numFmtId="167"/>
    <dataField name=" INDICADOR $COAGULANTE/M3 " fld="59" baseField="0" baseItem="0" numFmtId="167"/>
    <dataField name="INDICADOR $DECOLORANTE/M3 " fld="60" baseField="0" baseItem="0" numFmtId="167"/>
    <dataField name="INDICADOR $POL ANIONICO/ M3 " fld="61" baseField="0" baseItem="0" numFmtId="167"/>
    <dataField name=" INDICADOR $POL CATIONICO / M3 " fld="62" baseField="0" baseItem="0" numFmtId="167"/>
  </dataFields>
  <formats count="26">
    <format dxfId="622">
      <pivotArea outline="0" collapsedLevelsAreSubtotals="1" fieldPosition="0"/>
    </format>
    <format dxfId="621">
      <pivotArea outline="0" collapsedLevelsAreSubtotals="1" fieldPosition="0"/>
    </format>
    <format dxfId="620">
      <pivotArea type="all" dataOnly="0" outline="0" fieldPosition="0"/>
    </format>
    <format dxfId="619">
      <pivotArea outline="0" collapsedLevelsAreSubtotals="1" fieldPosition="0"/>
    </format>
    <format dxfId="618">
      <pivotArea field="1" type="button" dataOnly="0" labelOnly="1" outline="0" axis="axisRow" fieldPosition="0"/>
    </format>
    <format dxfId="61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16">
      <pivotArea dataOnly="0" labelOnly="1" grandRow="1" outline="0" fieldPosition="0"/>
    </format>
    <format dxfId="615">
      <pivotArea type="all" dataOnly="0" outline="0" fieldPosition="0"/>
    </format>
    <format dxfId="614">
      <pivotArea outline="0" collapsedLevelsAreSubtotals="1" fieldPosition="0"/>
    </format>
    <format dxfId="613">
      <pivotArea field="1" type="button" dataOnly="0" labelOnly="1" outline="0" axis="axisRow" fieldPosition="0"/>
    </format>
    <format dxfId="61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11">
      <pivotArea dataOnly="0" labelOnly="1" grandRow="1" outline="0" fieldPosition="0"/>
    </format>
    <format dxfId="610">
      <pivotArea type="all" dataOnly="0" outline="0" fieldPosition="0"/>
    </format>
    <format dxfId="609">
      <pivotArea outline="0" collapsedLevelsAreSubtotals="1" fieldPosition="0"/>
    </format>
    <format dxfId="60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7">
      <pivotArea dataOnly="0" labelOnly="1" grandRow="1" outline="0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3">
      <pivotArea dataOnly="0" labelOnly="1" grandRow="1" outline="0" fieldPosition="0"/>
    </format>
    <format dxfId="602">
      <pivotArea field="1" type="button" dataOnly="0" labelOnly="1" outline="0" axis="axisRow" fieldPosition="0"/>
    </format>
    <format dxfId="601">
      <pivotArea dataOnly="0" labelOnly="1" fieldPosition="0">
        <references count="1">
          <reference field="1" count="1">
            <x v="11"/>
          </reference>
        </references>
      </pivotArea>
    </format>
    <format dxfId="60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9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98">
      <pivotArea dataOnly="0" fieldPosition="0">
        <references count="1">
          <reference field="1" count="0"/>
        </references>
      </pivotArea>
    </format>
    <format dxfId="597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D9CA-4B55-4A5B-A9E2-E67ECFD60FC9}" name="TablaDinámica5" cacheId="2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4" rowHeaderCaption="DIA">
  <location ref="V3:AB32" firstHeaderRow="0" firstDataRow="1" firstDataCol="1" rowPageCount="1" colPageCount="1"/>
  <pivotFields count="63">
    <pivotField axis="axisPage" numFmtId="14" multipleItemSelectionAllowed="1"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 sortType="ascending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625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624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62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B2C0-F69E-4409-8B70-C0EC306C9BF1}" name="TablaDinámica7" cacheId="2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7" rowHeaderCaption="DIA">
  <location ref="AL3:AR32" firstHeaderRow="0" firstDataRow="1" firstDataCol="1" rowPageCount="1" colPageCount="1"/>
  <pivotFields count="63">
    <pivotField axis="axisPage" numFmtId="14" multipleItemSelectionAllowed="1"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2" baseField="0" baseItem="0" numFmtId="3"/>
    <dataField name="KG POL ANIONICO  " fld="21" baseField="0" baseItem="0" numFmtId="3"/>
    <dataField name="KG ACIDO " fld="18" baseField="0" baseItem="0" numFmtId="3"/>
    <dataField name="KG COAGULANTE " fld="19" baseField="0" baseItem="0" numFmtId="3"/>
    <dataField name="KG DECOLORANTE  " fld="20" baseField="0" baseItem="0" numFmtId="3"/>
    <dataField name=" INDICADOR $m3 " fld="48" baseField="0" baseItem="0"/>
  </dataFields>
  <formats count="3">
    <format dxfId="628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627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626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28C-06B2-47A4-A8C7-96F56DDA066C}" name="TablaDinámica6" cacheId="2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D3:AJ32" firstHeaderRow="0" firstDataRow="1" firstDataCol="1" rowPageCount="1" colPageCount="1"/>
  <pivotFields count="63">
    <pivotField axis="axisPage" numFmtId="14" multipleItemSelectionAllowed="1"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7" baseField="0" baseItem="0" numFmtId="3"/>
    <dataField name="CONSUMO POL ANIONICO (KG) " fld="16" baseField="0" baseItem="0" numFmtId="3"/>
    <dataField name="CONSUMO LITROS ACIDO (L) " fld="13" baseField="0" baseItem="0" numFmtId="3"/>
    <dataField name="CONSUMO LITROS COAGULANTE (L) " fld="14" baseField="0" baseItem="0" numFmtId="3"/>
    <dataField name="CONSUMO LITROS DECOLORANTE (L) " fld="15" baseField="0" baseItem="0" numFmtId="3"/>
    <dataField name=" INDICADOR $m3 " fld="48" baseField="0" baseItem="0"/>
  </dataFields>
  <formats count="4">
    <format dxfId="632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631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63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6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9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28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35:AD37" firstHeaderRow="1" firstDataRow="2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 CAUDAL TOTAL TRATADO GEM " fld="11" baseField="0" baseItem="0"/>
  </dataFields>
  <formats count="37">
    <format dxfId="267">
      <pivotArea field="0" type="button" dataOnly="0" labelOnly="1" outline="0"/>
    </format>
    <format dxfId="266">
      <pivotArea field="0" type="button" dataOnly="0" labelOnly="1" outline="0"/>
    </format>
    <format dxfId="265">
      <pivotArea outline="0" collapsedLevelsAreSubtotals="1" fieldPosition="0"/>
    </format>
    <format dxfId="264">
      <pivotArea field="1" type="button" dataOnly="0" labelOnly="1" outline="0" axis="axisCol" fieldPosition="0"/>
    </format>
    <format dxfId="263">
      <pivotArea type="origin" dataOnly="0" labelOnly="1" outline="0" fieldPosition="0"/>
    </format>
    <format dxfId="262">
      <pivotArea outline="0" collapsedLevelsAreSubtotals="1" fieldPosition="0"/>
    </format>
    <format dxfId="261">
      <pivotArea outline="0" collapsedLevelsAreSubtotals="1" fieldPosition="0"/>
    </format>
    <format dxfId="260">
      <pivotArea type="origin" dataOnly="0" labelOnly="1" outline="0" fieldPosition="0"/>
    </format>
    <format dxfId="259">
      <pivotArea field="-2" type="button" dataOnly="0" labelOnly="1" outline="0" axis="axisValues" fieldPosition="0"/>
    </format>
    <format dxfId="258">
      <pivotArea type="origin" dataOnly="0" labelOnly="1" outline="0" fieldPosition="0"/>
    </format>
    <format dxfId="257">
      <pivotArea field="-2" type="button" dataOnly="0" labelOnly="1" outline="0" axis="axisValues" fieldPosition="0"/>
    </format>
    <format dxfId="256">
      <pivotArea outline="0" collapsedLevelsAreSubtotals="1" fieldPosition="0">
        <references count="1">
          <reference field="1" count="0" selected="0"/>
        </references>
      </pivotArea>
    </format>
    <format dxfId="255">
      <pivotArea field="1" type="button" dataOnly="0" labelOnly="1" outline="0" axis="axisCol" fieldPosition="0"/>
    </format>
    <format dxfId="254">
      <pivotArea type="topRight" dataOnly="0" labelOnly="1" outline="0" fieldPosition="0"/>
    </format>
    <format dxfId="253">
      <pivotArea dataOnly="0" labelOnly="1" fieldPosition="0">
        <references count="1">
          <reference field="1" count="0"/>
        </references>
      </pivotArea>
    </format>
    <format dxfId="252">
      <pivotArea outline="0" collapsedLevelsAreSubtotals="1" fieldPosition="0"/>
    </format>
    <format dxfId="251">
      <pivotArea dataOnly="0" labelOnly="1" fieldPosition="0">
        <references count="1">
          <reference field="1" count="0"/>
        </references>
      </pivotArea>
    </format>
    <format dxfId="250">
      <pivotArea dataOnly="0" labelOnly="1" grandCol="1" outline="0" fieldPosition="0"/>
    </format>
    <format dxfId="249">
      <pivotArea outline="0" collapsedLevelsAreSubtotals="1" fieldPosition="0"/>
    </format>
    <format dxfId="248">
      <pivotArea dataOnly="0" labelOnly="1" fieldPosition="0">
        <references count="1">
          <reference field="1" count="0"/>
        </references>
      </pivotArea>
    </format>
    <format dxfId="247">
      <pivotArea dataOnly="0" labelOnly="1" grandCol="1" outline="0" fieldPosition="0"/>
    </format>
    <format dxfId="246">
      <pivotArea outline="0" collapsedLevelsAreSubtotals="1" fieldPosition="0"/>
    </format>
    <format dxfId="2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4">
      <pivotArea field="1" type="button" dataOnly="0" labelOnly="1" outline="0" axis="axisCol" fieldPosition="0"/>
    </format>
    <format dxfId="243">
      <pivotArea type="topRight" dataOnly="0" labelOnly="1" outline="0" fieldPosition="0"/>
    </format>
    <format dxfId="242">
      <pivotArea dataOnly="0" labelOnly="1" fieldPosition="0">
        <references count="1">
          <reference field="1" count="0"/>
        </references>
      </pivotArea>
    </format>
    <format dxfId="241">
      <pivotArea dataOnly="0" labelOnly="1" grandCol="1" outline="0" fieldPosition="0"/>
    </format>
    <format dxfId="2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8">
      <pivotArea outline="0" collapsedLevelsAreSubtotals="1" fieldPosition="0"/>
    </format>
    <format dxfId="2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6">
      <pivotArea type="origin" dataOnly="0" labelOnly="1" outline="0" fieldPosition="0"/>
    </format>
    <format dxfId="235">
      <pivotArea field="-2" type="button" dataOnly="0" labelOnly="1" outline="0" axis="axisValues" fieldPosition="0"/>
    </format>
    <format dxfId="234">
      <pivotArea field="1" type="button" dataOnly="0" labelOnly="1" outline="0" axis="axisCol" fieldPosition="0"/>
    </format>
    <format dxfId="233">
      <pivotArea type="topRight" dataOnly="0" labelOnly="1" outline="0" fieldPosition="0"/>
    </format>
    <format dxfId="232">
      <pivotArea dataOnly="0" labelOnly="1" fieldPosition="0">
        <references count="1">
          <reference field="1" count="0"/>
        </references>
      </pivotArea>
    </format>
    <format dxfId="231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28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D10" firstHeaderRow="1" firstDataRow="2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7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  <dataField name="CAUDAL TOTAL TRATADO GEM  " fld="11" baseField="0" baseItem="0"/>
    <dataField name="INDICADOR $m3 " fld="48" baseField="0" baseItem="0"/>
  </dataFields>
  <formats count="27"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1" type="button" dataOnly="0" labelOnly="1" outline="0" axis="axisCol" fieldPosition="0"/>
    </format>
    <format dxfId="291">
      <pivotArea type="topRight" dataOnly="0" labelOnly="1" outline="0" fieldPosition="0"/>
    </format>
    <format dxfId="29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89">
      <pivotArea dataOnly="0" labelOnly="1" fieldPosition="0">
        <references count="1">
          <reference field="1" count="0"/>
        </references>
      </pivotArea>
    </format>
    <format dxfId="288">
      <pivotArea dataOnly="0" labelOnly="1" grandCol="1" outline="0" fieldPosition="0"/>
    </format>
    <format dxfId="287">
      <pivotArea outline="0" collapsedLevelsAreSubtotals="1" fieldPosition="0"/>
    </format>
    <format dxfId="28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85">
      <pivotArea dataOnly="0" labelOnly="1" fieldPosition="0">
        <references count="1">
          <reference field="1" count="0"/>
        </references>
      </pivotArea>
    </format>
    <format dxfId="284">
      <pivotArea dataOnly="0" labelOnly="1" grandCol="1" outline="0" fieldPosition="0"/>
    </format>
    <format dxfId="283">
      <pivotArea type="origin" dataOnly="0" labelOnly="1" outline="0" fieldPosition="0"/>
    </format>
    <format dxfId="282">
      <pivotArea field="-2" type="button" dataOnly="0" labelOnly="1" outline="0" axis="axisRow" fieldPosition="0"/>
    </format>
    <format dxfId="281">
      <pivotArea type="origin" dataOnly="0" labelOnly="1" outline="0" fieldPosition="0"/>
    </format>
    <format dxfId="280">
      <pivotArea field="-2" type="button" dataOnly="0" labelOnly="1" outline="0" axis="axisRow" fieldPosition="0"/>
    </format>
    <format dxfId="279">
      <pivotArea field="1" type="button" dataOnly="0" labelOnly="1" outline="0" axis="axisCol" fieldPosition="0"/>
    </format>
    <format dxfId="278">
      <pivotArea type="topRight" dataOnly="0" labelOnly="1" outline="0" fieldPosition="0"/>
    </format>
    <format dxfId="277">
      <pivotArea dataOnly="0" labelOnly="1" fieldPosition="0">
        <references count="1">
          <reference field="1" count="0"/>
        </references>
      </pivotArea>
    </format>
    <format dxfId="276">
      <pivotArea dataOnly="0" labelOnly="1" grandCol="1" outline="0" fieldPosition="0"/>
    </format>
    <format dxfId="275">
      <pivotArea outline="0" collapsedLevelsAreSubtotals="1" fieldPosition="0"/>
    </format>
    <format dxfId="274">
      <pivotArea dataOnly="0" labelOnly="1" fieldPosition="0">
        <references count="1">
          <reference field="1" count="0"/>
        </references>
      </pivotArea>
    </format>
    <format dxfId="273">
      <pivotArea dataOnly="0" labelOnly="1" grandCol="1" outline="0" fieldPosition="0"/>
    </format>
    <format dxfId="272">
      <pivotArea dataOnly="0" labelOnly="1" fieldPosition="0">
        <references count="1">
          <reference field="1" count="0"/>
        </references>
      </pivotArea>
    </format>
    <format dxfId="271">
      <pivotArea dataOnly="0" labelOnly="1" grandCol="1" outline="0" fieldPosition="0"/>
    </format>
    <format dxfId="2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69">
      <pivotArea field="-2" type="button" dataOnly="0" labelOnly="1" outline="0" axis="axisRow" fieldPosition="0"/>
    </format>
    <format dxfId="268">
      <pivotArea collapsedLevelsAreSubtotals="1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28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3:AD21" firstHeaderRow="1" firstDataRow="2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7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  <dataField name="CAUDAL TOTAL TRATADO GEM  " fld="11" baseField="0" baseItem="0"/>
    <dataField name="INDICADOR $m3 " fld="48" baseField="0" baseItem="0"/>
  </dataFields>
  <formats count="64">
    <format dxfId="358">
      <pivotArea field="0" type="button" dataOnly="0" labelOnly="1" outline="0"/>
    </format>
    <format dxfId="357">
      <pivotArea field="0" type="button" dataOnly="0" labelOnly="1" outline="0"/>
    </format>
    <format dxfId="356">
      <pivotArea field="0" type="button" dataOnly="0" labelOnly="1" outline="0"/>
    </format>
    <format dxfId="3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2">
      <pivotArea field="0" type="button" dataOnly="0" labelOnly="1" outline="0"/>
    </format>
    <format dxfId="35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0">
      <pivotArea type="all" dataOnly="0" outline="0" fieldPosition="0"/>
    </format>
    <format dxfId="349">
      <pivotArea outline="0" collapsedLevelsAreSubtotals="1" fieldPosition="0"/>
    </format>
    <format dxfId="348">
      <pivotArea field="0" type="button" dataOnly="0" labelOnly="1" outline="0"/>
    </format>
    <format dxfId="347">
      <pivotArea dataOnly="0" labelOnly="1" grandRow="1" outline="0" fieldPosition="0"/>
    </format>
    <format dxfId="3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5">
      <pivotArea field="0" type="button" dataOnly="0" labelOnly="1" outline="0"/>
    </format>
    <format dxfId="3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3">
      <pivotArea field="0" type="button" dataOnly="0" labelOnly="1" outline="0"/>
    </format>
    <format dxfId="3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1">
      <pivotArea outline="0" collapsedLevelsAreSubtotals="1" fieldPosition="0"/>
    </format>
    <format dxfId="340">
      <pivotArea dataOnly="0" labelOnly="1" grandRow="1" outline="0" fieldPosition="0"/>
    </format>
    <format dxfId="339">
      <pivotArea field="-2" type="button" dataOnly="0" labelOnly="1" outline="0" axis="axisRow" fieldPosition="0"/>
    </format>
    <format dxfId="338">
      <pivotArea type="origin" dataOnly="0" labelOnly="1" outline="0" fieldPosition="0"/>
    </format>
    <format dxfId="337">
      <pivotArea type="origin" dataOnly="0" labelOnly="1" outline="0" fieldPosition="0"/>
    </format>
    <format dxfId="336">
      <pivotArea field="-2" type="button" dataOnly="0" labelOnly="1" outline="0" axis="axisRow" fieldPosition="0"/>
    </format>
    <format dxfId="335">
      <pivotArea field="-2" type="button" dataOnly="0" labelOnly="1" outline="0" axis="axisRow" fieldPosition="0"/>
    </format>
    <format dxfId="334">
      <pivotArea outline="0" fieldPosition="0">
        <references count="1">
          <reference field="4294967294" count="1">
            <x v="0"/>
          </reference>
        </references>
      </pivotArea>
    </format>
    <format dxfId="333">
      <pivotArea field="1" type="button" dataOnly="0" labelOnly="1" outline="0" axis="axisCol" fieldPosition="0"/>
    </format>
    <format dxfId="3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1">
      <pivotArea field="1" type="button" dataOnly="0" labelOnly="1" outline="0" axis="axisCol" fieldPosition="0"/>
    </format>
    <format dxfId="330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29">
      <pivotArea outline="0" collapsedLevelsAreSubtotals="1" fieldPosition="0">
        <references count="1">
          <reference field="1" count="0" selected="0"/>
        </references>
      </pivotArea>
    </format>
    <format dxfId="328">
      <pivotArea field="1" type="button" dataOnly="0" labelOnly="1" outline="0" axis="axisCol" fieldPosition="0"/>
    </format>
    <format dxfId="327">
      <pivotArea type="topRight" dataOnly="0" labelOnly="1" outline="0" fieldPosition="0"/>
    </format>
    <format dxfId="326">
      <pivotArea dataOnly="0" labelOnly="1" fieldPosition="0">
        <references count="1">
          <reference field="1" count="0"/>
        </references>
      </pivotArea>
    </format>
    <format dxfId="325">
      <pivotArea type="origin" dataOnly="0" labelOnly="1" outline="0" fieldPosition="0"/>
    </format>
    <format dxfId="324">
      <pivotArea field="-2" type="button" dataOnly="0" labelOnly="1" outline="0" axis="axisRow" fieldPosition="0"/>
    </format>
    <format dxfId="3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8">
      <pivotArea type="origin" dataOnly="0" labelOnly="1" outline="0" fieldPosition="0"/>
    </format>
    <format dxfId="317">
      <pivotArea field="1" type="button" dataOnly="0" labelOnly="1" outline="0" axis="axisCol" fieldPosition="0"/>
    </format>
    <format dxfId="316">
      <pivotArea type="topRight" dataOnly="0" labelOnly="1" outline="0" fieldPosition="0"/>
    </format>
    <format dxfId="315">
      <pivotArea field="-2" type="button" dataOnly="0" labelOnly="1" outline="0" axis="axisRow" fieldPosition="0"/>
    </format>
    <format dxfId="314">
      <pivotArea dataOnly="0" labelOnly="1" fieldPosition="0">
        <references count="1">
          <reference field="1" count="0"/>
        </references>
      </pivotArea>
    </format>
    <format dxfId="313">
      <pivotArea dataOnly="0" labelOnly="1" grandCol="1" outline="0" fieldPosition="0"/>
    </format>
    <format dxfId="312">
      <pivotArea type="origin" dataOnly="0" labelOnly="1" outline="0" fieldPosition="0"/>
    </format>
    <format dxfId="311">
      <pivotArea field="1" type="button" dataOnly="0" labelOnly="1" outline="0" axis="axisCol" fieldPosition="0"/>
    </format>
    <format dxfId="310">
      <pivotArea type="topRight" dataOnly="0" labelOnly="1" outline="0" fieldPosition="0"/>
    </format>
    <format dxfId="309">
      <pivotArea field="-2" type="button" dataOnly="0" labelOnly="1" outline="0" axis="axisRow" fieldPosition="0"/>
    </format>
    <format dxfId="308">
      <pivotArea dataOnly="0" labelOnly="1" fieldPosition="0">
        <references count="1">
          <reference field="1" count="0"/>
        </references>
      </pivotArea>
    </format>
    <format dxfId="307">
      <pivotArea dataOnly="0" labelOnly="1" grandCol="1" outline="0" fieldPosition="0"/>
    </format>
    <format dxfId="306">
      <pivotArea dataOnly="0" labelOnly="1" fieldPosition="0">
        <references count="1">
          <reference field="1" count="0"/>
        </references>
      </pivotArea>
    </format>
    <format dxfId="305">
      <pivotArea dataOnly="0" labelOnly="1" grandCol="1" outline="0" fieldPosition="0"/>
    </format>
    <format dxfId="304">
      <pivotArea field="1" type="button" dataOnly="0" labelOnly="1" outline="0" axis="axisCol" fieldPosition="0"/>
    </format>
    <format dxfId="303">
      <pivotArea type="topRight" dataOnly="0" labelOnly="1" outline="0" fieldPosition="0"/>
    </format>
    <format dxfId="302">
      <pivotArea dataOnly="0" labelOnly="1" fieldPosition="0">
        <references count="1">
          <reference field="1" count="0"/>
        </references>
      </pivotArea>
    </format>
    <format dxfId="301">
      <pivotArea dataOnly="0" labelOnly="1" grandCol="1" outline="0" fieldPosition="0"/>
    </format>
    <format dxfId="300">
      <pivotArea outline="0" collapsedLevelsAreSubtotals="1" fieldPosition="0"/>
    </format>
    <format dxfId="299">
      <pivotArea type="origin" dataOnly="0" labelOnly="1" outline="0" fieldPosition="0"/>
    </format>
    <format dxfId="298">
      <pivotArea field="-2" type="button" dataOnly="0" labelOnly="1" outline="0" axis="axisRow" fieldPosition="0"/>
    </format>
    <format dxfId="297">
      <pivotArea collapsedLevelsAreSubtotals="1" fieldPosition="0">
        <references count="1">
          <reference field="4294967294" count="1">
            <x v="6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95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28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5:AC33" firstHeaderRow="1" firstDataRow="2" firstDataCol="1"/>
  <pivotFields count="63">
    <pivotField showAll="0">
      <items count="489"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8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28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dataFields count="7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 " fld="52" baseField="1" baseItem="0"/>
    <dataField name="COF 494 - PPM POL CATIONICO " fld="53" baseField="0" baseItem="0"/>
    <dataField name="CAUDAL TOTAL TRATADO GEM  " fld="11" baseField="0" baseItem="0"/>
    <dataField name="INDICADOR $m3 " fld="48" baseField="0" baseItem="0"/>
  </dataFields>
  <formats count="53">
    <format dxfId="411">
      <pivotArea field="0" type="button" dataOnly="0" labelOnly="1" outline="0"/>
    </format>
    <format dxfId="410">
      <pivotArea field="0" type="button" dataOnly="0" labelOnly="1" outline="0"/>
    </format>
    <format dxfId="409">
      <pivotArea field="0" type="button" dataOnly="0" labelOnly="1" outline="0"/>
    </format>
    <format dxfId="408">
      <pivotArea field="0" type="button" dataOnly="0" labelOnly="1" outline="0"/>
    </format>
    <format dxfId="407">
      <pivotArea type="all" dataOnly="0" outline="0" fieldPosition="0"/>
    </format>
    <format dxfId="406">
      <pivotArea outline="0" collapsedLevelsAreSubtotals="1" fieldPosition="0"/>
    </format>
    <format dxfId="405">
      <pivotArea field="0" type="button" dataOnly="0" labelOnly="1" outline="0"/>
    </format>
    <format dxfId="404">
      <pivotArea dataOnly="0" labelOnly="1" grandRow="1" outline="0" fieldPosition="0"/>
    </format>
    <format dxfId="403">
      <pivotArea field="0" type="button" dataOnly="0" labelOnly="1" outline="0"/>
    </format>
    <format dxfId="402">
      <pivotArea field="0" type="button" dataOnly="0" labelOnly="1" outline="0"/>
    </format>
    <format dxfId="401">
      <pivotArea field="0" type="button" dataOnly="0" labelOnly="1" outline="0"/>
    </format>
    <format dxfId="400">
      <pivotArea field="0" type="button" dataOnly="0" labelOnly="1" outline="0"/>
    </format>
    <format dxfId="399">
      <pivotArea outline="0" collapsedLevelsAreSubtotals="1" fieldPosition="0"/>
    </format>
    <format dxfId="398">
      <pivotArea field="0" type="button" dataOnly="0" labelOnly="1" outline="0"/>
    </format>
    <format dxfId="397">
      <pivotArea type="all" dataOnly="0" outline="0" fieldPosition="0"/>
    </format>
    <format dxfId="396">
      <pivotArea field="0" type="button" dataOnly="0" labelOnly="1" outline="0"/>
    </format>
    <format dxfId="395">
      <pivotArea dataOnly="0" labelOnly="1" grandRow="1" outline="0" fieldPosition="0"/>
    </format>
    <format dxfId="394">
      <pivotArea type="origin" dataOnly="0" labelOnly="1" outline="0" fieldPosition="0"/>
    </format>
    <format dxfId="393">
      <pivotArea type="origin" dataOnly="0" labelOnly="1" outline="0" fieldPosition="0"/>
    </format>
    <format dxfId="392">
      <pivotArea field="1" type="button" dataOnly="0" labelOnly="1" outline="0" axis="axisCol" fieldPosition="0"/>
    </format>
    <format dxfId="3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0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89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388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87">
      <pivotArea outline="0" collapsedLevelsAreSubtotals="1" fieldPosition="0">
        <references count="1">
          <reference field="1" count="0" selected="0"/>
        </references>
      </pivotArea>
    </format>
    <format dxfId="386">
      <pivotArea field="1" type="button" dataOnly="0" labelOnly="1" outline="0" axis="axisCol" fieldPosition="0"/>
    </format>
    <format dxfId="385">
      <pivotArea type="topRight" dataOnly="0" labelOnly="1" outline="0" fieldPosition="0"/>
    </format>
    <format dxfId="384">
      <pivotArea dataOnly="0" labelOnly="1" fieldPosition="0">
        <references count="1">
          <reference field="1" count="0"/>
        </references>
      </pivotArea>
    </format>
    <format dxfId="3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8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8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80">
      <pivotArea type="all" dataOnly="0" outline="0" fieldPosition="0"/>
    </format>
    <format dxfId="379">
      <pivotArea type="origin" dataOnly="0" labelOnly="1" outline="0" fieldPosition="0"/>
    </format>
    <format dxfId="378">
      <pivotArea field="-2" type="button" dataOnly="0" labelOnly="1" outline="0" axis="axisRow" fieldPosition="0"/>
    </format>
    <format dxfId="377">
      <pivotArea dataOnly="0" labelOnly="1" fieldPosition="0">
        <references count="1">
          <reference field="1" count="0"/>
        </references>
      </pivotArea>
    </format>
    <format dxfId="376">
      <pivotArea dataOnly="0" labelOnly="1" grandCol="1" outline="0" fieldPosition="0"/>
    </format>
    <format dxfId="375">
      <pivotArea outline="0" collapsedLevelsAreSubtotals="1" fieldPosition="0"/>
    </format>
    <format dxfId="3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3">
      <pivotArea type="origin" dataOnly="0" labelOnly="1" outline="0" fieldPosition="0"/>
    </format>
    <format dxfId="372">
      <pivotArea field="-2" type="button" dataOnly="0" labelOnly="1" outline="0" axis="axisRow" fieldPosition="0"/>
    </format>
    <format dxfId="371">
      <pivotArea field="1" type="button" dataOnly="0" labelOnly="1" outline="0" axis="axisCol" fieldPosition="0"/>
    </format>
    <format dxfId="370">
      <pivotArea type="topRight" dataOnly="0" labelOnly="1" outline="0" fieldPosition="0"/>
    </format>
    <format dxfId="369">
      <pivotArea field="1" type="button" dataOnly="0" labelOnly="1" outline="0" axis="axisCol" fieldPosition="0"/>
    </format>
    <format dxfId="368">
      <pivotArea type="topRight" dataOnly="0" labelOnly="1" outline="0" fieldPosition="0"/>
    </format>
    <format dxfId="367">
      <pivotArea dataOnly="0" labelOnly="1" fieldPosition="0">
        <references count="1">
          <reference field="1" count="0"/>
        </references>
      </pivotArea>
    </format>
    <format dxfId="366">
      <pivotArea dataOnly="0" labelOnly="1" grandCol="1" outline="0" fieldPosition="0"/>
    </format>
    <format dxfId="365">
      <pivotArea field="1" type="button" dataOnly="0" labelOnly="1" outline="0" axis="axisCol" fieldPosition="0"/>
    </format>
    <format dxfId="364">
      <pivotArea type="topRight" dataOnly="0" labelOnly="1" outline="0" fieldPosition="0"/>
    </format>
    <format dxfId="363">
      <pivotArea dataOnly="0" labelOnly="1" fieldPosition="0">
        <references count="1">
          <reference field="1" count="0"/>
        </references>
      </pivotArea>
    </format>
    <format dxfId="362">
      <pivotArea dataOnly="0" labelOnly="1" grandCol="1" outline="0" fieldPosition="0"/>
    </format>
    <format dxfId="361">
      <pivotArea type="origin" dataOnly="0" labelOnly="1" outline="0" fieldPosition="0"/>
    </format>
    <format dxfId="360">
      <pivotArea field="-2" type="button" dataOnly="0" labelOnly="1" outline="0" axis="axisRow" fieldPosition="0"/>
    </format>
    <format dxfId="359">
      <pivotArea collapsedLevelsAreSubtotals="1" fieldPosition="0">
        <references count="1">
          <reference field="4294967294" count="1">
            <x v="6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29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H28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Suma de PPM HCL" fld="55" baseField="0" baseItem="0" numFmtId="1"/>
    <dataField name="Suma de PPM KURIVERTER" fld="56" baseField="0" baseItem="0" numFmtId="1"/>
    <dataField name="Suma de PPM VITEC" fld="57" baseField="0" baseItem="0" numFmtId="1"/>
    <dataField name="Suma de PPM NaOH" fld="58" baseField="0" baseItem="0" numFmtId="1"/>
    <dataField name="Suma de PPM BISULFITO" fld="59" baseField="0" baseItem="0" numFmtId="1"/>
  </dataFields>
  <formats count="31">
    <format dxfId="39">
      <pivotArea outline="0" collapsedLevelsAreSubtotals="1" fieldPosition="0"/>
    </format>
    <format dxfId="38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7">
      <pivotArea grandCol="1" outline="0" collapsedLevelsAreSubtotals="1" fieldPosition="0"/>
    </format>
    <format dxfId="36">
      <pivotArea type="topRight" dataOnly="0" labelOnly="1" outline="0" offset="B1:AD1" fieldPosition="0"/>
    </format>
    <format dxfId="35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-2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-2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Col="1" outline="0" fieldPosition="0"/>
    </format>
    <format dxfId="21">
      <pivotArea type="origin" dataOnly="0" labelOnly="1" outline="0" fieldPosition="0"/>
    </format>
    <format dxfId="20">
      <pivotArea field="-2" type="button" dataOnly="0" labelOnly="1" outline="0" axis="axisRow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  <format dxfId="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">
      <pivotArea type="origin" dataOnly="0" labelOnly="1" outline="0" fieldPosition="0"/>
    </format>
    <format dxfId="13">
      <pivotArea field="1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-2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29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H18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Kg) HCL (10%)22" fld="29" baseField="0" baseItem="0"/>
    <dataField name=" CONSUMO (Kg) KURIVERTER IK-220 (Biocida)" fld="30" baseField="0" baseItem="0"/>
    <dataField name=" CONSUMO (Kg) VITEC 7000 (Antiincrustante)" fld="31" baseField="0" baseItem="0"/>
    <dataField name=" CONSUMO (Kg) Hidróxido de Sodio (NaOH)" fld="32" baseField="0" baseItem="0"/>
    <dataField name=" CONSUMO (Kg) Bisulfito de sodio6" fld="33" baseField="0" baseItem="0"/>
  </dataFields>
  <formats count="25">
    <format dxfId="64">
      <pivotArea outline="0" collapsedLevelsAreSubtotals="1" fieldPosition="0"/>
    </format>
    <format dxfId="63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62">
      <pivotArea grandCol="1" outline="0" collapsedLevelsAreSubtotals="1" fieldPosition="0"/>
    </format>
    <format dxfId="61">
      <pivotArea type="topRight" dataOnly="0" labelOnly="1" outline="0" offset="B1:AD1" fieldPosition="0"/>
    </format>
    <format dxfId="60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field="1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-2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Col="1" outline="0" fieldPosition="0"/>
    </format>
    <format dxfId="52">
      <pivotArea type="origin" dataOnly="0" labelOnly="1" outline="0" fieldPosition="0"/>
    </format>
    <format dxfId="51">
      <pivotArea field="1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-2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Col="1" outline="0" fieldPosition="0"/>
    </format>
    <format dxfId="46">
      <pivotArea type="origin" dataOnly="0" labelOnly="1" outline="0" fieldPosition="0"/>
    </format>
    <format dxfId="45">
      <pivotArea field="-2" type="button" dataOnly="0" labelOnly="1" outline="0" axis="axisRow" fieldPosition="0"/>
    </format>
    <format dxfId="44">
      <pivotArea outline="0" collapsedLevelsAreSubtotals="1" fieldPosition="0"/>
    </format>
    <format dxfId="4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29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H9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L) HCL (10%)" fld="19" baseField="0" baseItem="0"/>
    <dataField name=" CONSUMO (L) KURIVERTER IK-220 (Biocida)" fld="20" baseField="0" baseItem="0"/>
    <dataField name="CONSUMO (L) VITEC 7000 (Antiincrustante) " fld="21" baseField="0" baseItem="0"/>
    <dataField name="CONSUMO (L) Hidróxido de Sodio (NaOH) " fld="22" baseField="0" baseItem="0"/>
    <dataField name="CONSUMO (L) Bisulfito de sodio " fld="23" baseField="0" baseItem="0"/>
  </dataFields>
  <formats count="35">
    <format dxfId="99">
      <pivotArea outline="0" collapsedLevelsAreSubtotals="1" fieldPosition="0"/>
    </format>
    <format dxfId="98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7">
      <pivotArea grandCol="1" outline="0" collapsedLevelsAreSubtotals="1" fieldPosition="0"/>
    </format>
    <format dxfId="96">
      <pivotArea type="topRight" dataOnly="0" labelOnly="1" outline="0" offset="B1:AD1" fieldPosition="0"/>
    </format>
    <format dxfId="95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4">
      <pivotArea dataOnly="0" labelOnly="1" grandCol="1" outline="0" fieldPosition="0"/>
    </format>
    <format dxfId="93">
      <pivotArea type="all" dataOnly="0" outline="0" fieldPosition="0"/>
    </format>
    <format dxfId="92">
      <pivotArea field="1" type="button" dataOnly="0" labelOnly="1" outline="0" axis="axisCol" fieldPosition="0"/>
    </format>
    <format dxfId="91">
      <pivotArea type="topRight" dataOnly="0" labelOnly="1" outline="0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Col="1" outline="0" fieldPosition="0"/>
    </format>
    <format dxfId="88">
      <pivotArea type="origin" dataOnly="0" labelOnly="1" outline="0" fieldPosition="0"/>
    </format>
    <format dxfId="87">
      <pivotArea field="-2" type="button" dataOnly="0" labelOnly="1" outline="0" axis="axisRow" fieldPosition="0"/>
    </format>
    <format dxfId="86">
      <pivotArea field="1" type="button" dataOnly="0" labelOnly="1" outline="0" axis="axisCol" fieldPosition="0"/>
    </format>
    <format dxfId="85">
      <pivotArea type="topRight" dataOnly="0" labelOnly="1" outline="0" fieldPosition="0"/>
    </format>
    <format dxfId="84">
      <pivotArea outline="0" collapsedLevelsAreSubtotals="1" fieldPosition="0"/>
    </format>
    <format dxfId="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2">
      <pivotArea type="origin" dataOnly="0" labelOnly="1" outline="0" fieldPosition="0"/>
    </format>
    <format dxfId="81">
      <pivotArea field="1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-2" type="button" dataOnly="0" labelOnly="1" outline="0" axis="axisRow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Col="1" outline="0" fieldPosition="0"/>
    </format>
    <format dxfId="76">
      <pivotArea type="origin" dataOnly="0" labelOnly="1" outline="0" fieldPosition="0"/>
    </format>
    <format dxfId="75">
      <pivotArea field="1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-2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Col="1" outline="0" fieldPosition="0"/>
    </format>
    <format dxfId="70">
      <pivotArea outline="0" collapsedLevelsAreSubtotals="1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Col="1" outline="0" fieldPosition="0"/>
    </format>
    <format dxfId="67">
      <pivotArea type="origin" dataOnly="0" labelOnly="1" outline="0" fieldPosition="0"/>
    </format>
    <format dxfId="66">
      <pivotArea field="-2" type="button" dataOnly="0" labelOnly="1" outline="0" axis="axisRow" fieldPosition="0"/>
    </format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2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H34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Items count="1">
    <i/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TIEMPO DE OPERACIÓN (minutos)" fld="8" baseField="0" baseItem="0"/>
  </dataFields>
  <formats count="23">
    <format dxfId="122">
      <pivotArea outline="0" collapsedLevelsAreSubtotals="1" fieldPosition="0"/>
    </format>
    <format dxfId="121">
      <pivotArea dataOnly="0" labelOnly="1" outline="0" axis="axisValues" fieldPosition="0"/>
    </format>
    <format dxfId="120">
      <pivotArea field="1" type="button" dataOnly="0" labelOnly="1" outline="0" axis="axisCol" fieldPosition="0"/>
    </format>
    <format dxfId="119">
      <pivotArea type="topRight" dataOnly="0" labelOnly="1" outline="0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Col="1" outline="0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offset="A1" fieldPosition="0"/>
    </format>
    <format dxfId="113">
      <pivotArea dataOnly="0" labelOnly="1" outline="0" axis="axisValues" fieldPosition="0"/>
    </format>
    <format dxfId="112">
      <pivotArea field="1" type="button" dataOnly="0" labelOnly="1" outline="0" axis="axisCol" fieldPosition="0"/>
    </format>
    <format dxfId="111">
      <pivotArea type="topRight" dataOnly="0" labelOnly="1" outline="0" fieldPosition="0"/>
    </format>
    <format dxfId="110">
      <pivotArea type="origin" dataOnly="0" labelOnly="1" outline="0" offset="A2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dataOnly="0" labelOnly="1" grandCol="1" outline="0" fieldPosition="0"/>
    </format>
    <format dxfId="107">
      <pivotArea type="origin" dataOnly="0" labelOnly="1" outline="0" offset="A1" fieldPosition="0"/>
    </format>
    <format dxfId="106">
      <pivotArea type="origin" dataOnly="0" labelOnly="1" outline="0" offset="A2" fieldPosition="0"/>
    </format>
    <format dxfId="105">
      <pivotArea outline="0" collapsedLevelsAreSubtotals="1" fieldPosition="0">
        <references count="1">
          <reference field="1" count="0" selected="0"/>
        </references>
      </pivotArea>
    </format>
    <format dxfId="104">
      <pivotArea dataOnly="0" labelOnly="1" fieldPosition="0">
        <references count="1">
          <reference field="1" count="0"/>
        </references>
      </pivotArea>
    </format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outline="0" collapsedLevelsAreSubtotals="1" fieldPosition="0"/>
    </format>
    <format dxfId="1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  <pivotTable tabId="14" name="TablaDinámica9"/>
    <pivotTable tabId="16" name="TablaDinámica1"/>
    <pivotTable tabId="16" name="TablaDinámica2"/>
    <pivotTable tabId="16" name="TablaDinámica3"/>
    <pivotTable tabId="16" name="TablaDinámica4"/>
    <pivotTable tabId="27" name="TablaDinámica5"/>
    <pivotTable tabId="27" name="TablaDinámica6"/>
    <pivotTable tabId="27" name="TablaDinámica7"/>
    <pivotTable tabId="14" name="TablaDinámica5"/>
    <pivotTable tabId="27" name="TablaDinámica10"/>
  </pivotTables>
  <data>
    <tabular pivotCacheId="1515291395">
      <items count="48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35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18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1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60F968E0-6B0D-4F1A-B862-937963606172}" sourceName="DIA">
  <pivotTables>
    <pivotTable tabId="27" name="TablaDinámica5"/>
    <pivotTable tabId="16" name="TablaDinámica1"/>
    <pivotTable tabId="16" name="TablaDinámica2"/>
    <pivotTable tabId="16" name="TablaDinámica3"/>
    <pivotTable tabId="16" name="TablaDinámica4"/>
    <pivotTable tabId="14" name="TablaDinámica1"/>
    <pivotTable tabId="27" name="TablaDinámica6"/>
    <pivotTable tabId="27" name="TablaDinámica7"/>
    <pivotTable tabId="14" name="TablaDinámica9"/>
    <pivotTable tabId="14" name="TablaDinámica5"/>
    <pivotTable tabId="27" name="TablaDinámica10"/>
  </pivotTables>
  <data>
    <tabular pivotCacheId="1515291395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31" nd="1"/>
        <i x="28" s="1" nd="1"/>
        <i x="29" s="1" nd="1"/>
        <i x="3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2"/>
    <pivotTable tabId="14" name="TablaDinámica4"/>
  </pivotTables>
  <data>
    <tabular pivotCacheId="140647070">
      <items count="36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C0CF515C-C34C-4638-A3ED-0E3BB739B0C2}" cache="SegmentaciónDeDatos_FECHA1" caption="FECHA" startItem="20" rowHeight="241300"/>
  <slicer name="DIA 1" xr10:uid="{DFAAB8DA-9D58-4623-BEA0-623A2358A5F3}" cache="SegmentaciónDeDatos_DIA" caption="DIA" rowHeight="234950"/>
  <slicer name="FECHA 2" xr10:uid="{7CEFE6A9-8DD9-441D-9BF7-6AF4C8AF5212}" cache="SegmentaciónDeDatos_FECHA2" caption="FECHA" startItem="2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9B5769E2-C70B-43B3-8FD1-F18507C6336A}" cache="SegmentaciónDeDatos_DIA" caption="DIA" startItem="1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5" totalsRowCount="1" headerRowDxfId="596" dataDxfId="595">
  <autoFilter ref="A1:AU94" xr:uid="{106ED39B-8120-48D1-B96B-A8FB2CC5DC7B}"/>
  <tableColumns count="47">
    <tableColumn id="1" xr3:uid="{797BBFE9-7BD9-4895-8C65-B12AC56DBD23}" name="FECHA" dataDxfId="594" totalsRowDxfId="593"/>
    <tableColumn id="47" xr3:uid="{976FC6AF-EAA8-436A-9BA8-AC53AED0CB5E}" name="DIA" dataDxfId="592" totalsRowDxfId="591"/>
    <tableColumn id="2" xr3:uid="{ED62E89D-C3D6-46F0-9E1B-185F3DF1296E}" name="ANALISIS TURNO" dataDxfId="590" totalsRowDxfId="589"/>
    <tableColumn id="3" xr3:uid="{BBA60A93-0254-41C3-A7CA-2EDB720B1050}" name="# TURNO" dataDxfId="588" totalsRowDxfId="587"/>
    <tableColumn id="46" xr3:uid="{4F31C636-F8EB-4A95-8AED-141DEE9C8A6A}" name="DILIGENCIAR BITACORA" dataDxfId="586" totalsRowDxfId="585"/>
    <tableColumn id="4" xr3:uid="{B73C29EE-3B1E-409E-B889-754B9082C27C}" name="FINAL ACIDO (L)" totalsRowLabel="2.160" dataDxfId="584" totalsRowDxfId="583"/>
    <tableColumn id="5" xr3:uid="{85CF7F79-52E3-4C53-9B93-560644AE36E3}" name="FINAL COAGULANTE (L)" totalsRowLabel="2.100" dataDxfId="582" totalsRowDxfId="581"/>
    <tableColumn id="6" xr3:uid="{E77621B2-41A1-4E5F-BE6F-18DDA2810184}" name="FINAL DECOLORANTE (L)" totalsRowLabel="1.670" dataDxfId="580" totalsRowDxfId="579"/>
    <tableColumn id="7" xr3:uid="{01D1223B-AFC9-473C-B53A-772ED6688370}" name="FINAL POL ANIONICO (KG)" totalsRowLabel="205" dataDxfId="578" totalsRowDxfId="577"/>
    <tableColumn id="8" xr3:uid="{F3F3A222-444F-40CA-A3E4-91ADFB7EE17C}" name="FINAL POL CATIONICO (KG)" totalsRowLabel="105" dataDxfId="576" totalsRowDxfId="575"/>
    <tableColumn id="11" xr3:uid="{6CA64394-760F-47F1-A458-077D466340EA}" name="Lectura Horometro INICIAL (06:00)" dataDxfId="574" totalsRowDxfId="573"/>
    <tableColumn id="12" xr3:uid="{F9E9DE99-0964-4A63-8AB7-0B4C558EB128}" name="CAUDAL TOTAL TRATADO GEM " dataDxfId="572" totalsRowDxfId="571"/>
    <tableColumn id="50" xr3:uid="{836AB61D-51F9-4D81-8D56-EA763E8959D1}" name="CAUDAL DE TRATAMIENTO" dataDxfId="570" totalsRowDxfId="569"/>
    <tableColumn id="13" xr3:uid="{DC31669B-5880-4278-AAEF-DEE832958168}" name="CONSUMO LITROS ACIDO (L)" dataDxfId="568" totalsRowDxfId="567"/>
    <tableColumn id="14" xr3:uid="{3F519DC6-C28D-400E-9BAE-FB58AEEC8615}" name="CONSUMO LITROS COAGULANTE (L)" dataDxfId="566" totalsRowDxfId="565"/>
    <tableColumn id="15" xr3:uid="{0C5F056C-2132-4DCC-8DE0-5EAB91723784}" name="CONSUMO LITROS DECOLORANTE (L)" dataDxfId="564" totalsRowDxfId="563"/>
    <tableColumn id="16" xr3:uid="{C474DBB7-9EDF-4C8A-8999-41B9946BC586}" name="CONSUMO POL ANIONICO (KG)" dataDxfId="562" totalsRowDxfId="561"/>
    <tableColumn id="17" xr3:uid="{1537DA41-65B8-4D8C-9F11-D2F984E6D1B1}" name="CONSUMO POL CATIONICO (KG)" dataDxfId="560" totalsRowDxfId="559"/>
    <tableColumn id="18" xr3:uid="{2A63BD78-FAED-4C1C-8047-CB39F8AFDCAC}" name="KG ACIDO" dataDxfId="558" totalsRowDxfId="557"/>
    <tableColumn id="19" xr3:uid="{3C33C774-6CF3-4B73-BF30-DBB9172996A9}" name="KG COAGULANTE" dataDxfId="556" totalsRowDxfId="555"/>
    <tableColumn id="20" xr3:uid="{CAFA74FF-0418-441A-9326-66074AEC1610}" name="KG DECOLORANTE " dataDxfId="554" totalsRowDxfId="553"/>
    <tableColumn id="21" xr3:uid="{1458EF37-76ED-43B9-8AA8-9F80763A7696}" name="KG POL ANIONICO " dataDxfId="552" totalsRowDxfId="551"/>
    <tableColumn id="22" xr3:uid="{300A389A-14FF-4FB7-87C0-417DAACBFC6E}" name="KG POL CATIONICO " dataDxfId="550" totalsRowDxfId="549"/>
    <tableColumn id="23" xr3:uid="{0E4FFC5C-D7F2-468F-A1A3-EBC3233EC511}" name="PPM ACIDO " dataDxfId="548" totalsRowDxfId="547"/>
    <tableColumn id="24" xr3:uid="{3F435E9F-2B10-453D-AA8A-0FC6772EB018}" name="PPM COAGULANTE " dataDxfId="546" totalsRowDxfId="545"/>
    <tableColumn id="25" xr3:uid="{9FE8A120-667D-4F19-816A-5FFF232C1EE7}" name="PPM DECOLORANTE " dataDxfId="544" totalsRowDxfId="543"/>
    <tableColumn id="26" xr3:uid="{39A5A5CD-B186-47FD-AE6C-D0DA41E39382}" name="PPM POL ANIONICO " dataDxfId="542" totalsRowDxfId="541"/>
    <tableColumn id="27" xr3:uid="{F8AB9DCC-1003-4C35-9BE6-9E37DF927B08}" name="PPM POL CATIONICO" dataDxfId="540" totalsRowDxfId="539"/>
    <tableColumn id="28" xr3:uid="{CE609211-2FE1-46A8-AF6B-F6AAFA38AC6C}" name="DENSIDAD ACIDO" dataDxfId="538" totalsRowDxfId="537"/>
    <tableColumn id="29" xr3:uid="{26E48531-C8F5-4079-8037-57ED96A4A976}" name="DENSIDAD COAGULANTE" dataDxfId="536" totalsRowDxfId="535"/>
    <tableColumn id="30" xr3:uid="{CA42BDD6-E35F-4650-A2AD-2B882E2985C0}" name="DENSIDAD DECOLORANTE" dataDxfId="534" totalsRowDxfId="533"/>
    <tableColumn id="31" xr3:uid="{213F817F-0E9B-47EF-9F76-E320E6B3052B}" name="DENSIDAD ANIONICO" dataDxfId="532" totalsRowDxfId="531"/>
    <tableColumn id="32" xr3:uid="{4BB0F123-E730-4842-BC86-E2064FC88FFF}" name="DENSIDAD CATIONICO" dataDxfId="530" totalsRowDxfId="529"/>
    <tableColumn id="33" xr3:uid="{B2BD1E5E-CBC5-493D-B4B1-9DA910A0C1F1}" name="PRECIO (KG) ACIDO" dataDxfId="528" totalsRowDxfId="527"/>
    <tableColumn id="34" xr3:uid="{4972F7E0-8FD1-4EF3-B1FB-369777963AB1}" name="PRECIO (KG) COAGULANTE" dataDxfId="526" totalsRowDxfId="525"/>
    <tableColumn id="35" xr3:uid="{A844FAF9-9CDA-4E3B-98E2-E766500E3FE0}" name="PRECIO (KG) DECOLORANTE" dataDxfId="524" totalsRowDxfId="523"/>
    <tableColumn id="36" xr3:uid="{ECBD8F2B-41C8-484E-B81D-4DA820DAB619}" name="PRECIO (KG) ANIONICO" dataDxfId="522" totalsRowDxfId="521"/>
    <tableColumn id="37" xr3:uid="{8EACD521-2BF4-44D1-B345-3B0CA4AB45E0}" name="PRECIO (KG) CATIONICO" dataDxfId="520" totalsRowDxfId="519"/>
    <tableColumn id="51" xr3:uid="{55C56D81-BC85-44D8-B16B-E4FDEEFD2F3C}" name="COSTO OPERATIVO ACIDO" dataDxfId="518" totalsRowDxfId="517" dataCellStyle="Millares"/>
    <tableColumn id="38" xr3:uid="{017EFE46-D96A-42E1-8707-878704C5E501}" name="COSTO OPERATIVO COAGULANTE" dataDxfId="516" totalsRowDxfId="515"/>
    <tableColumn id="39" xr3:uid="{99F19967-E3ED-4C22-BFB3-6A96F4CA9289}" name="COSTO OPERATIVO DECOLORANTE" dataDxfId="514" totalsRowDxfId="513"/>
    <tableColumn id="40" xr3:uid="{07CF8F42-BA08-4C48-A2E4-4DBB283A4E23}" name="COSTO OPERATIVO ANIONICO" dataDxfId="512" totalsRowDxfId="511"/>
    <tableColumn id="41" xr3:uid="{FB818BA1-8137-4F90-8B4E-4979316FAB5A}" name="COSTO OPERATIVO CATIONICO" dataDxfId="510" totalsRowDxfId="509"/>
    <tableColumn id="42" xr3:uid="{C925CA67-4C0E-4B28-8CD9-B1CD4B61FBAB}" name="COSTO QUIMICA " dataDxfId="508" totalsRowDxfId="507"/>
    <tableColumn id="43" xr3:uid="{AD7ED194-6217-4171-9A5E-722504A09916}" name="LIMITE INDICADOR M3" totalsRowFunction="custom" dataDxfId="506" totalsRowDxfId="505">
      <totalsRowFormula>SUM(AS2:AS37)</totalsRowFormula>
    </tableColumn>
    <tableColumn id="45" xr3:uid="{917AA0D6-1159-42C0-BFE1-D283A0204659}" name="$ m3" dataDxfId="504" totalsRowDxfId="503"/>
    <tableColumn id="9" xr3:uid="{9592E80F-E524-4827-91FD-B2ECCB6E9AE9}" name="HORAS DE OPERACIÓN" dataDxfId="502" totalsRowDxfId="501">
      <calculatedColumnFormula>IFERROR(Tabla1[[#This Row],[CAUDAL TOTAL TRATADO GEM ]]/Tabla1[[#This Row],[CAUDAL DE TRATAMIENTO]],0)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B96" totalsRowCount="1" headerRowDxfId="230" dataDxfId="228" headerRowBorderDxfId="229" dataCellStyle="Moneda">
  <autoFilter ref="A1:BB95" xr:uid="{1B6F41AC-77AF-4386-8D11-23242FAF90E8}"/>
  <sortState xmlns:xlrd2="http://schemas.microsoft.com/office/spreadsheetml/2017/richdata2" ref="A2:BB95">
    <sortCondition ref="A1:A95"/>
  </sortState>
  <tableColumns count="54">
    <tableColumn id="1" xr3:uid="{CC590991-2A1A-4D5C-B65D-9930977908D8}" name="FECHA" dataDxfId="227" totalsRowDxfId="226"/>
    <tableColumn id="54" xr3:uid="{9A818E5C-5192-4396-A7BC-405EB3227304}" name="DIA" dataDxfId="225" totalsRowDxfId="224">
      <calculatedColumnFormula>DAY(Tabla2[[#This Row],[FECHA]])</calculatedColumnFormula>
    </tableColumn>
    <tableColumn id="2" xr3:uid="{0DF8C586-856D-4C65-B4FB-1FC5DE6691B5}" name="TURNO" dataDxfId="223"/>
    <tableColumn id="3" xr3:uid="{C72CF01B-5D8E-4114-8039-5372DB2EFC73}" name="HCL (10%)" dataDxfId="222" totalsRowDxfId="221"/>
    <tableColumn id="4" xr3:uid="{2856B276-2C23-4389-801C-3F8DE875B88F}" name="KURIVERTER IK-220 (Biocida)" dataDxfId="220" totalsRowDxfId="219"/>
    <tableColumn id="5" xr3:uid="{8EBA9A5D-A07B-43C3-898E-67582DEA4511}" name="VITEC 7000 (Antiincrustante)" dataDxfId="218" totalsRowDxfId="217"/>
    <tableColumn id="6" xr3:uid="{DA0ECB86-EF9A-4745-A19C-F1F06CA6ECCF}" name="Hidróxido de Sodio (NaOH)" dataDxfId="216"/>
    <tableColumn id="7" xr3:uid="{0326820F-4E40-47C1-8F97-879B4E50F2F6}" name="Bisulfito de sodio " dataDxfId="215"/>
    <tableColumn id="55" xr3:uid="{7DF4B77E-F956-4875-A047-7C2F1A1C2B5E}" name="TIEMPO DE OPERACIÓN (minutos)" dataDxfId="214" totalsRowDxfId="213">
      <calculatedColumnFormula>Tabla2[[#This Row],[VOLUMEN ENVIADO A RO (m3)]]/Tabla2[[#This Row],[Q DE OPERACIÓN (m3/h)]]</calculatedColumnFormula>
    </tableColumn>
    <tableColumn id="8" xr3:uid="{5062A74B-BC0E-4E63-BE12-3512AD9515F1}" name="cm HCL (10%)" dataDxfId="212" totalsRowDxfId="211"/>
    <tableColumn id="9" xr3:uid="{8529AFE4-E51B-4C9D-90FF-3CA6BA16A7D7}" name="cm IK-220 (Biocida)" dataDxfId="210" totalsRowDxfId="209"/>
    <tableColumn id="10" xr3:uid="{C27E6998-1AB7-40C5-9872-F136B97B99E8}" name="cm          Vitec 7000" dataDxfId="208" totalsRowDxfId="207"/>
    <tableColumn id="11" xr3:uid="{C8B09375-E483-4508-BC53-B6655E1C7B6A}" name="cm NaOH" dataDxfId="206" totalsRowDxfId="205"/>
    <tableColumn id="12" xr3:uid="{128C444D-DA78-4568-A422-F11D52858461}" name="cm Bisulfito de sodio" dataDxfId="204" totalsRowDxfId="203"/>
    <tableColumn id="13" xr3:uid="{7FBF2940-699F-4035-A510-31AFB65D6411}" name="(INV- L) - HCL (10%)" totalsRowFunction="custom" dataDxfId="202" totalsRowDxfId="201">
      <calculatedColumnFormula>J2*(1000/114)</calculatedColumnFormula>
      <totalsRowFormula>J96*(1000/114)</totalsRowFormula>
    </tableColumn>
    <tableColumn id="14" xr3:uid="{767F6605-A3F2-492F-945E-DDC0CAB2DB84}" name="(INV -L) - KURIVERTER IK-220 (Biocida)" totalsRowFunction="custom" dataDxfId="200" totalsRowDxfId="199">
      <calculatedColumnFormula>K2*(1000/114)</calculatedColumnFormula>
      <totalsRowFormula>K96*(1000/114)</totalsRowFormula>
    </tableColumn>
    <tableColumn id="15" xr3:uid="{96362BE9-7A65-46CD-A85D-EAE9FD4E4A3E}" name="(INV -L) - VITEC 7000 (Antiincrustante)" totalsRowFunction="custom" dataDxfId="198" totalsRowDxfId="197">
      <calculatedColumnFormula>L2*(1000/114)</calculatedColumnFormula>
      <totalsRowFormula>L96*(1000/114)</totalsRowFormula>
    </tableColumn>
    <tableColumn id="16" xr3:uid="{669C88A5-5B67-4E1A-848D-B906D749A1F4}" name="(INV -L) - Hidróxido de Sodio (NaOH)" totalsRowFunction="custom" dataDxfId="196" totalsRowDxfId="195">
      <calculatedColumnFormula>M2*(1000/114)</calculatedColumnFormula>
      <totalsRowFormula>M96*(1000/114)</totalsRowFormula>
    </tableColumn>
    <tableColumn id="17" xr3:uid="{9644B846-08DF-40FB-BA21-D462B2539F82}" name="(INV -L) Bisulfito de sodio " totalsRowFunction="custom" dataDxfId="194" totalsRowDxfId="193">
      <calculatedColumnFormula>N2*(1000/114)</calculatedColumnFormula>
      <totalsRowFormula>N96*(1000/114)</totalsRowFormula>
    </tableColumn>
    <tableColumn id="18" xr3:uid="{53BA0641-3357-40F8-A768-B0970273D359}" name="CONSUMO (L) HCL (10%)2" dataDxfId="192" totalsRowDxfId="191">
      <calculatedColumnFormula>O2-O3</calculatedColumnFormula>
    </tableColumn>
    <tableColumn id="19" xr3:uid="{2741AB60-1BD3-4EB2-97E3-C0905064841C}" name="CONSUMO (L) KURIVERTER IK-220 (Biocida)" dataDxfId="190" totalsRowDxfId="189">
      <calculatedColumnFormula>P2-P3</calculatedColumnFormula>
    </tableColumn>
    <tableColumn id="20" xr3:uid="{9E39C560-B3C5-42C5-A83B-32163ABBC3C2}" name="CONSUMO (L) VITEC 7000 (Antiincrustante)" dataDxfId="188" totalsRowDxfId="187">
      <calculatedColumnFormula>Q2-Q3</calculatedColumnFormula>
    </tableColumn>
    <tableColumn id="21" xr3:uid="{F636A971-349F-44EC-AA4A-D65B46EA4509}" name="CONSUMO (L) Hidróxido de Sodio (NaOH)" dataDxfId="186" totalsRowDxfId="185">
      <calculatedColumnFormula>R2-R3</calculatedColumnFormula>
    </tableColumn>
    <tableColumn id="22" xr3:uid="{7781554F-7B54-4EA7-9016-7A7B8EB508E9}" name="CONSUMO (L) Bisulfito de sodio" dataDxfId="184" totalsRowDxfId="183">
      <calculatedColumnFormula>S2-S3</calculatedColumnFormula>
    </tableColumn>
    <tableColumn id="23" xr3:uid="{F13E2BB3-287E-4571-8E69-9289518AA148}" name="DENSIDAD HCL (10%)" dataDxfId="182" totalsRowDxfId="181"/>
    <tableColumn id="24" xr3:uid="{48AD8845-7C14-4043-8230-B0183351ED07}" name="DENSIDAD KURIVERTER IK-220 (Biocida)" dataDxfId="180" totalsRowDxfId="179"/>
    <tableColumn id="25" xr3:uid="{CF20E6D5-D7BC-4306-8839-F79454AD170E}" name="DENSIDAD VITEC 7000 (Antiincrustante)" dataDxfId="178" totalsRowDxfId="177"/>
    <tableColumn id="26" xr3:uid="{98855FE0-4207-41E8-ADD5-911DF75A035E}" name="DENSIDAD Hidróxido de Sodio (NaOH)" dataDxfId="176" totalsRowDxfId="175"/>
    <tableColumn id="27" xr3:uid="{46CA938B-A3A3-4599-9D37-141EFFA96426}" name="DENSIDAD Bisulfito de sodio " dataDxfId="174" totalsRowDxfId="173"/>
    <tableColumn id="28" xr3:uid="{BB957096-4718-4076-8B2F-A9CEE034434C}" name="CONSUMO (Kg) HCL (10%)22" dataDxfId="172" totalsRowDxfId="171">
      <calculatedColumnFormula>T2*Y2</calculatedColumnFormula>
    </tableColumn>
    <tableColumn id="29" xr3:uid="{52C49479-4664-4FBE-98D2-F00B1BF76CEF}" name="CONSUMO (Kg) KURIVERTER IK-220 (Biocida)" dataDxfId="170" totalsRowDxfId="169">
      <calculatedColumnFormula>U2*Z2</calculatedColumnFormula>
    </tableColumn>
    <tableColumn id="30" xr3:uid="{6B19FE49-AB7C-43BE-9391-EA71817E3452}" name="CONSUMO (Kg) VITEC 7000 (Antiincrustante)" dataDxfId="168" totalsRowDxfId="167">
      <calculatedColumnFormula>V2*AA2</calculatedColumnFormula>
    </tableColumn>
    <tableColumn id="31" xr3:uid="{734CA6A9-E5CE-4779-AA1F-8FA5FC6C53BA}" name="CONSUMO (Kg) Hidróxido de Sodio (NaOH)" dataDxfId="166" totalsRowDxfId="165">
      <calculatedColumnFormula>W2*AB2</calculatedColumnFormula>
    </tableColumn>
    <tableColumn id="32" xr3:uid="{5D0EA3E3-830A-4420-B486-CA1E94B17A6C}" name="CONSUMO (Kg) Bisulfito de sodio6" dataDxfId="164" totalsRowDxfId="163">
      <calculatedColumnFormula>X2*AC2</calculatedColumnFormula>
    </tableColumn>
    <tableColumn id="33" xr3:uid="{E83D2B0F-D3A9-4DD1-9B93-643DDFF1148A}" name="VOLUMEN ENVIADO A RO (m3)" dataDxfId="162" totalsRowDxfId="161"/>
    <tableColumn id="34" xr3:uid="{3CED80EE-F7B2-4B85-A1B1-0053DD535481}" name="Q DE OPERACIÓN (m3/h)" dataDxfId="160" totalsRowDxfId="159"/>
    <tableColumn id="36" xr3:uid="{05276D4B-845D-40F6-BAA9-617D98D8BD04}" name="PPM HCL (10%)" dataDxfId="158" totalsRowDxfId="157">
      <calculatedColumnFormula>(AD2*1000)/$AI2</calculatedColumnFormula>
    </tableColumn>
    <tableColumn id="37" xr3:uid="{75B2E292-4009-4477-A946-4D4298E6F844}" name="PPM  KURIVERTER IK-220 (Biocida)" dataDxfId="156" totalsRowDxfId="155">
      <calculatedColumnFormula>(AE2*1000)/$AI2</calculatedColumnFormula>
    </tableColumn>
    <tableColumn id="38" xr3:uid="{06E157F8-1F10-4C7E-9FC5-774A2972ADFD}" name="PPM  VITEC 7000 (Antiincrustante)" dataDxfId="154" totalsRowDxfId="153">
      <calculatedColumnFormula>(AF2*1000)/$AI2</calculatedColumnFormula>
    </tableColumn>
    <tableColumn id="39" xr3:uid="{8685D8D8-27CE-4650-9824-906C8595A541}" name="PPM  Hidróxido de Sodio (NaOH)" dataDxfId="152" totalsRowDxfId="151">
      <calculatedColumnFormula>(AG2*1000)/$AI2</calculatedColumnFormula>
    </tableColumn>
    <tableColumn id="40" xr3:uid="{D50B03E8-53AC-44DD-9B94-4A31095A3539}" name="PPM Bisulfito de sodio " dataDxfId="150" totalsRowDxfId="149">
      <calculatedColumnFormula>(AH2*1000)/$AI2</calculatedColumnFormula>
    </tableColumn>
    <tableColumn id="41" xr3:uid="{8ACA5EC2-DCCB-42D8-B7AA-9AD08580F95E}" name="PRECIO HCL (10%)" dataDxfId="148" totalsRowDxfId="147" dataCellStyle="Moneda"/>
    <tableColumn id="42" xr3:uid="{8FEBCB0C-D97F-473C-9CBB-5F23546078B2}" name="PRECIO KURIVERTER IK-220 (Biocida)" dataDxfId="146" totalsRowDxfId="145" dataCellStyle="Moneda"/>
    <tableColumn id="43" xr3:uid="{6EF000A7-EA79-49BA-9BF9-404574772CBB}" name="PRECIO VITEC 7000 (Antiincrustante)" dataDxfId="144" totalsRowDxfId="143" dataCellStyle="Moneda"/>
    <tableColumn id="44" xr3:uid="{03B26517-4C1F-4C23-822C-014E2EA3E60C}" name="PRECIO Hidróxido de Sodio (NaOH)" dataDxfId="142" totalsRowDxfId="141" dataCellStyle="Moneda"/>
    <tableColumn id="45" xr3:uid="{2769F69A-BB42-49A8-82F3-638C6F0A80CA}" name="PRECIO Bisulfito de sodio " dataDxfId="140" totalsRowDxfId="139" dataCellStyle="Moneda"/>
    <tableColumn id="46" xr3:uid="{BAAEDBD9-EF26-4E02-81A9-B1D36D645F1E}" name="COSTO OPERATIVO HCL (10%)" dataDxfId="138" totalsRowDxfId="137" dataCellStyle="Moneda">
      <calculatedColumnFormula>AP2*(AE2*0.8)</calculatedColumnFormula>
    </tableColumn>
    <tableColumn id="47" xr3:uid="{B5977102-7103-4418-A127-AF580B742AE8}" name="COSTO OPERATIVO KURIVERTER IK-220 (Biocida)" dataDxfId="136" totalsRowDxfId="135" dataCellStyle="Moneda">
      <calculatedColumnFormula>AQ2*(AF2*0.012)</calculatedColumnFormula>
    </tableColumn>
    <tableColumn id="48" xr3:uid="{9536BE99-8364-49D7-84C0-3FC4CBA7F3A7}" name="COSTO OPERATIVO VITEC 7000 (Antiincrustante)" dataDxfId="134" totalsRowDxfId="133" dataCellStyle="Moneda">
      <calculatedColumnFormula>AR2*(AG2*0.044)</calculatedColumnFormula>
    </tableColumn>
    <tableColumn id="49" xr3:uid="{7386E060-0060-4586-B378-BFC4068453CB}" name="COSTO OPERATIVO Hidróxido de Sodio (NaOH)" dataDxfId="132" totalsRowDxfId="131" dataCellStyle="Moneda">
      <calculatedColumnFormula>AS2*AH2</calculatedColumnFormula>
    </tableColumn>
    <tableColumn id="50" xr3:uid="{8A7A5227-ECD0-4C68-977D-4B6AE2E15060}" name="COSTO OPERATIVO Bisulfito de sodio " dataDxfId="130" totalsRowDxfId="129" dataCellStyle="Moneda">
      <calculatedColumnFormula>AT2*(AI2*0.025)</calculatedColumnFormula>
    </tableColumn>
    <tableColumn id="51" xr3:uid="{EB2B1E33-86A6-442A-A8E9-3128FF18FE4D}" name="COSTO QUIMICA " totalsRowFunction="custom" dataDxfId="128" totalsRowDxfId="127" dataCellStyle="Moneda">
      <calculatedColumnFormula>AU2+AV2+AW2+AX2+AY2</calculatedColumnFormula>
      <totalsRowFormula>SUM(AZ2:AZ94)</totalsRowFormula>
    </tableColumn>
    <tableColumn id="52" xr3:uid="{3F7A5D66-3F1B-4B04-9E57-A68AEC7AB87A}" name="LIMITE INDICADOR M3" dataDxfId="126" totalsRowDxfId="125" dataCellStyle="Moneda"/>
    <tableColumn id="53" xr3:uid="{8E9239AA-01A3-456B-98A2-5FD0E2DF97E7}" name="$m3 ENVIADO A RO (m3)" dataDxfId="124" totalsRowDxfId="123" dataCellStyle="Moneda">
      <calculatedColumnFormula>AZ2/AI2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E3ECBE2B-3C19-4DA0-8A01-7BF17F212C91}">
    <text>Se alimento a reactores y se requirió bajar ph</text>
  </threadedComment>
  <threadedComment ref="Z9" dT="2024-10-04T17:25:31.29" personId="{EE5C7DE3-FA37-4B1A-A8D2-FF232E6C14FC}" id="{315556E5-2D34-480E-BF02-3830F3F49D91}">
    <text>Por alimentacion a reactores, ara reducir color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U105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U88" sqref="A1:AU88"/>
    </sheetView>
  </sheetViews>
  <sheetFormatPr baseColWidth="10" defaultRowHeight="14.4" x14ac:dyDescent="0.3"/>
  <cols>
    <col min="1" max="1" width="14.88671875" customWidth="1"/>
    <col min="2" max="2" width="11.33203125" customWidth="1"/>
    <col min="3" max="3" width="12.21875" customWidth="1"/>
    <col min="4" max="4" width="12.21875" style="70" customWidth="1"/>
    <col min="5" max="5" width="17.109375" style="70" customWidth="1"/>
    <col min="6" max="10" width="16.33203125" style="295" customWidth="1"/>
    <col min="11" max="11" width="19.33203125" style="69" customWidth="1"/>
    <col min="12" max="13" width="17.33203125" style="1" customWidth="1"/>
    <col min="14" max="17" width="19.33203125" customWidth="1"/>
    <col min="18" max="18" width="16.33203125" customWidth="1"/>
    <col min="19" max="21" width="14.109375" customWidth="1"/>
    <col min="22" max="22" width="11.21875" customWidth="1"/>
    <col min="23" max="23" width="13" customWidth="1"/>
    <col min="24" max="28" width="14.109375" customWidth="1"/>
    <col min="29" max="29" width="21" style="71" customWidth="1"/>
    <col min="30" max="30" width="17.88671875" style="71" customWidth="1"/>
    <col min="31" max="31" width="18.6640625" style="71" customWidth="1"/>
    <col min="32" max="32" width="14.88671875" style="71" customWidth="1"/>
    <col min="33" max="33" width="15.6640625" style="71" customWidth="1"/>
    <col min="34" max="34" width="22.77734375" style="71" customWidth="1"/>
    <col min="35" max="35" width="17.88671875" style="71" customWidth="1"/>
    <col min="36" max="36" width="18.6640625" style="71" customWidth="1"/>
    <col min="37" max="38" width="16.33203125" style="71" customWidth="1"/>
    <col min="39" max="39" width="16.33203125" style="370" customWidth="1"/>
    <col min="40" max="45" width="19.33203125" customWidth="1"/>
    <col min="46" max="46" width="14.6640625" style="73" customWidth="1"/>
    <col min="47" max="47" width="17.33203125" style="1" customWidth="1"/>
  </cols>
  <sheetData>
    <row r="1" spans="1:47" s="84" customFormat="1" ht="51.6" customHeight="1" thickBot="1" x14ac:dyDescent="0.35">
      <c r="A1" s="75" t="s">
        <v>27</v>
      </c>
      <c r="B1" s="75" t="s">
        <v>79</v>
      </c>
      <c r="C1" s="87" t="s">
        <v>163</v>
      </c>
      <c r="D1" s="76" t="s">
        <v>122</v>
      </c>
      <c r="E1" s="87" t="s">
        <v>164</v>
      </c>
      <c r="F1" s="301" t="s">
        <v>190</v>
      </c>
      <c r="G1" s="302" t="s">
        <v>191</v>
      </c>
      <c r="H1" s="303" t="s">
        <v>192</v>
      </c>
      <c r="I1" s="302" t="s">
        <v>193</v>
      </c>
      <c r="J1" s="302" t="s">
        <v>194</v>
      </c>
      <c r="K1" s="327" t="s">
        <v>165</v>
      </c>
      <c r="L1" s="306" t="s">
        <v>15</v>
      </c>
      <c r="M1" s="326" t="s">
        <v>223</v>
      </c>
      <c r="N1" s="291" t="s">
        <v>41</v>
      </c>
      <c r="O1" s="292" t="s">
        <v>42</v>
      </c>
      <c r="P1" s="292" t="s">
        <v>43</v>
      </c>
      <c r="Q1" s="292" t="s">
        <v>44</v>
      </c>
      <c r="R1" s="292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285" t="s">
        <v>56</v>
      </c>
      <c r="X1" s="394" t="s">
        <v>51</v>
      </c>
      <c r="Y1" s="79" t="s">
        <v>52</v>
      </c>
      <c r="Z1" s="79" t="s">
        <v>58</v>
      </c>
      <c r="AA1" s="79" t="s">
        <v>59</v>
      </c>
      <c r="AB1" s="395" t="s">
        <v>60</v>
      </c>
      <c r="AC1" s="80" t="s">
        <v>50</v>
      </c>
      <c r="AD1" s="81" t="s">
        <v>46</v>
      </c>
      <c r="AE1" s="81" t="s">
        <v>47</v>
      </c>
      <c r="AF1" s="81" t="s">
        <v>48</v>
      </c>
      <c r="AG1" s="81" t="s">
        <v>49</v>
      </c>
      <c r="AH1" s="80" t="s">
        <v>61</v>
      </c>
      <c r="AI1" s="81" t="s">
        <v>62</v>
      </c>
      <c r="AJ1" s="81" t="s">
        <v>63</v>
      </c>
      <c r="AK1" s="81" t="s">
        <v>64</v>
      </c>
      <c r="AL1" s="81" t="s">
        <v>65</v>
      </c>
      <c r="AM1" s="396" t="s">
        <v>66</v>
      </c>
      <c r="AN1" s="397" t="s">
        <v>67</v>
      </c>
      <c r="AO1" s="397" t="s">
        <v>68</v>
      </c>
      <c r="AP1" s="397" t="s">
        <v>69</v>
      </c>
      <c r="AQ1" s="398" t="s">
        <v>70</v>
      </c>
      <c r="AR1" s="82" t="s">
        <v>73</v>
      </c>
      <c r="AS1" s="82" t="s">
        <v>74</v>
      </c>
      <c r="AT1" s="83" t="s">
        <v>71</v>
      </c>
      <c r="AU1" s="326" t="s">
        <v>363</v>
      </c>
    </row>
    <row r="2" spans="1:47" ht="15" thickBot="1" x14ac:dyDescent="0.35">
      <c r="A2" s="143">
        <v>46054</v>
      </c>
      <c r="B2" s="96">
        <v>1</v>
      </c>
      <c r="C2" s="320" t="s">
        <v>28</v>
      </c>
      <c r="D2" s="321">
        <v>1</v>
      </c>
      <c r="E2" s="321" t="s">
        <v>75</v>
      </c>
      <c r="F2" s="430">
        <v>4360</v>
      </c>
      <c r="G2" s="431">
        <v>6480</v>
      </c>
      <c r="H2" s="431">
        <v>1510</v>
      </c>
      <c r="I2" s="431">
        <v>165</v>
      </c>
      <c r="J2" s="431">
        <v>60</v>
      </c>
      <c r="K2" s="451">
        <v>16839</v>
      </c>
      <c r="L2" s="452">
        <v>0</v>
      </c>
      <c r="M2" s="329">
        <v>75</v>
      </c>
      <c r="N2" s="424">
        <v>0</v>
      </c>
      <c r="O2" s="456">
        <v>0</v>
      </c>
      <c r="P2" s="424">
        <v>0</v>
      </c>
      <c r="Q2" s="424">
        <v>0</v>
      </c>
      <c r="R2" s="425">
        <v>0</v>
      </c>
      <c r="S2" s="432">
        <v>0</v>
      </c>
      <c r="T2" s="433">
        <v>0</v>
      </c>
      <c r="U2" s="433">
        <v>0</v>
      </c>
      <c r="V2" s="433">
        <v>0</v>
      </c>
      <c r="W2" s="425">
        <v>0</v>
      </c>
      <c r="X2" s="432" t="e">
        <v>#DIV/0!</v>
      </c>
      <c r="Y2" s="433" t="e">
        <v>#DIV/0!</v>
      </c>
      <c r="Z2" s="433" t="e">
        <v>#DIV/0!</v>
      </c>
      <c r="AA2" s="433" t="e">
        <v>#DIV/0!</v>
      </c>
      <c r="AB2" s="425" t="e">
        <v>#DIV/0!</v>
      </c>
      <c r="AC2" s="434">
        <v>1.3</v>
      </c>
      <c r="AD2" s="434">
        <v>1.325</v>
      </c>
      <c r="AE2" s="434">
        <v>1.25</v>
      </c>
      <c r="AF2" s="435">
        <v>2500</v>
      </c>
      <c r="AG2" s="436">
        <v>2500</v>
      </c>
      <c r="AH2" s="97">
        <v>830</v>
      </c>
      <c r="AI2" s="97">
        <v>2900</v>
      </c>
      <c r="AJ2" s="97">
        <v>6295</v>
      </c>
      <c r="AK2" s="97">
        <v>19050</v>
      </c>
      <c r="AL2" s="97">
        <v>22050</v>
      </c>
      <c r="AM2" s="437">
        <v>0</v>
      </c>
      <c r="AN2" s="438">
        <v>0</v>
      </c>
      <c r="AO2" s="438">
        <v>0</v>
      </c>
      <c r="AP2" s="438">
        <v>0</v>
      </c>
      <c r="AQ2" s="439">
        <v>0</v>
      </c>
      <c r="AR2" s="437">
        <v>0</v>
      </c>
      <c r="AS2" s="438">
        <v>5250</v>
      </c>
      <c r="AT2" s="440" t="e">
        <v>#DIV/0!</v>
      </c>
      <c r="AU2" s="329">
        <f>IFERROR(Tabla1[[#This Row],[CAUDAL TOTAL TRATADO GEM ]]/Tabla1[[#This Row],[CAUDAL DE TRATAMIENTO]],0)</f>
        <v>0</v>
      </c>
    </row>
    <row r="3" spans="1:47" ht="15" thickBot="1" x14ac:dyDescent="0.35">
      <c r="A3" s="563">
        <v>46054</v>
      </c>
      <c r="B3" s="96">
        <v>1</v>
      </c>
      <c r="C3" s="322" t="s">
        <v>29</v>
      </c>
      <c r="D3" s="323">
        <v>2</v>
      </c>
      <c r="E3" s="323" t="s">
        <v>77</v>
      </c>
      <c r="F3" s="441">
        <v>4360</v>
      </c>
      <c r="G3" s="442">
        <v>6480</v>
      </c>
      <c r="H3" s="442">
        <v>1510</v>
      </c>
      <c r="I3" s="442">
        <v>165</v>
      </c>
      <c r="J3" s="442">
        <v>60</v>
      </c>
      <c r="K3" s="453">
        <v>16839</v>
      </c>
      <c r="L3" s="450">
        <v>0</v>
      </c>
      <c r="M3" s="328">
        <v>75</v>
      </c>
      <c r="N3" s="426">
        <v>0</v>
      </c>
      <c r="O3" s="457">
        <v>0</v>
      </c>
      <c r="P3" s="426">
        <v>0</v>
      </c>
      <c r="Q3" s="426">
        <v>0</v>
      </c>
      <c r="R3" s="427">
        <v>0</v>
      </c>
      <c r="S3" s="432">
        <v>0</v>
      </c>
      <c r="T3" s="433">
        <v>0</v>
      </c>
      <c r="U3" s="433">
        <v>0</v>
      </c>
      <c r="V3" s="443">
        <v>0</v>
      </c>
      <c r="W3" s="427">
        <v>0</v>
      </c>
      <c r="X3" s="444" t="e">
        <v>#DIV/0!</v>
      </c>
      <c r="Y3" s="443" t="e">
        <v>#DIV/0!</v>
      </c>
      <c r="Z3" s="443" t="e">
        <v>#DIV/0!</v>
      </c>
      <c r="AA3" s="443" t="e">
        <v>#DIV/0!</v>
      </c>
      <c r="AB3" s="427" t="e">
        <v>#DIV/0!</v>
      </c>
      <c r="AC3" s="434">
        <v>1.3</v>
      </c>
      <c r="AD3" s="434">
        <v>1.325</v>
      </c>
      <c r="AE3" s="434">
        <v>1.25</v>
      </c>
      <c r="AF3" s="435">
        <v>2500</v>
      </c>
      <c r="AG3" s="436">
        <v>2500</v>
      </c>
      <c r="AH3" s="97">
        <v>830</v>
      </c>
      <c r="AI3" s="97">
        <v>2900</v>
      </c>
      <c r="AJ3" s="97">
        <v>6295</v>
      </c>
      <c r="AK3" s="97">
        <v>19050</v>
      </c>
      <c r="AL3" s="97">
        <v>22050</v>
      </c>
      <c r="AM3" s="445">
        <v>0</v>
      </c>
      <c r="AN3" s="440">
        <v>0</v>
      </c>
      <c r="AO3" s="440">
        <v>0</v>
      </c>
      <c r="AP3" s="440">
        <v>0</v>
      </c>
      <c r="AQ3" s="446">
        <v>0</v>
      </c>
      <c r="AR3" s="445">
        <v>0</v>
      </c>
      <c r="AS3" s="440">
        <v>5250</v>
      </c>
      <c r="AT3" s="440" t="e">
        <v>#DIV/0!</v>
      </c>
      <c r="AU3" s="328">
        <f>IFERROR(Tabla1[[#This Row],[CAUDAL TOTAL TRATADO GEM ]]/Tabla1[[#This Row],[CAUDAL DE TRATAMIENTO]],0)</f>
        <v>0</v>
      </c>
    </row>
    <row r="4" spans="1:47" ht="15" thickBot="1" x14ac:dyDescent="0.35">
      <c r="A4" s="564">
        <v>46054</v>
      </c>
      <c r="B4" s="96">
        <v>1</v>
      </c>
      <c r="C4" s="324" t="s">
        <v>30</v>
      </c>
      <c r="D4" s="325">
        <v>3</v>
      </c>
      <c r="E4" s="325" t="s">
        <v>76</v>
      </c>
      <c r="F4" s="441">
        <v>4360</v>
      </c>
      <c r="G4" s="442">
        <v>6480</v>
      </c>
      <c r="H4" s="442">
        <v>1510</v>
      </c>
      <c r="I4" s="442">
        <v>165</v>
      </c>
      <c r="J4" s="442">
        <v>60</v>
      </c>
      <c r="K4" s="454">
        <v>16839</v>
      </c>
      <c r="L4" s="455">
        <v>0</v>
      </c>
      <c r="M4" s="330">
        <v>75</v>
      </c>
      <c r="N4" s="428">
        <v>0</v>
      </c>
      <c r="O4" s="458">
        <v>0</v>
      </c>
      <c r="P4" s="428">
        <v>0</v>
      </c>
      <c r="Q4" s="428">
        <v>0</v>
      </c>
      <c r="R4" s="429">
        <v>0</v>
      </c>
      <c r="S4" s="432">
        <v>0</v>
      </c>
      <c r="T4" s="433">
        <v>0</v>
      </c>
      <c r="U4" s="433">
        <v>0</v>
      </c>
      <c r="V4" s="447">
        <v>0</v>
      </c>
      <c r="W4" s="429">
        <v>0</v>
      </c>
      <c r="X4" s="444" t="e">
        <v>#DIV/0!</v>
      </c>
      <c r="Y4" s="447" t="e">
        <v>#DIV/0!</v>
      </c>
      <c r="Z4" s="447" t="e">
        <v>#DIV/0!</v>
      </c>
      <c r="AA4" s="447" t="e">
        <v>#DIV/0!</v>
      </c>
      <c r="AB4" s="429" t="e">
        <v>#DIV/0!</v>
      </c>
      <c r="AC4" s="434">
        <v>1.3</v>
      </c>
      <c r="AD4" s="434">
        <v>1.325</v>
      </c>
      <c r="AE4" s="434">
        <v>1.25</v>
      </c>
      <c r="AF4" s="435">
        <v>2500</v>
      </c>
      <c r="AG4" s="436">
        <v>2500</v>
      </c>
      <c r="AH4" s="97">
        <v>830</v>
      </c>
      <c r="AI4" s="97">
        <v>2900</v>
      </c>
      <c r="AJ4" s="97">
        <v>6295</v>
      </c>
      <c r="AK4" s="97">
        <v>19050</v>
      </c>
      <c r="AL4" s="97">
        <v>22050</v>
      </c>
      <c r="AM4" s="445">
        <v>0</v>
      </c>
      <c r="AN4" s="448">
        <v>0</v>
      </c>
      <c r="AO4" s="448">
        <v>0</v>
      </c>
      <c r="AP4" s="448">
        <v>0</v>
      </c>
      <c r="AQ4" s="449">
        <v>0</v>
      </c>
      <c r="AR4" s="445">
        <v>0</v>
      </c>
      <c r="AS4" s="448">
        <v>5250</v>
      </c>
      <c r="AT4" s="440" t="e">
        <v>#DIV/0!</v>
      </c>
      <c r="AU4" s="330">
        <f>IFERROR(Tabla1[[#This Row],[CAUDAL TOTAL TRATADO GEM ]]/Tabla1[[#This Row],[CAUDAL DE TRATAMIENTO]],0)</f>
        <v>0</v>
      </c>
    </row>
    <row r="5" spans="1:47" ht="15" thickBot="1" x14ac:dyDescent="0.35">
      <c r="A5" s="143">
        <v>46055</v>
      </c>
      <c r="B5" s="96">
        <v>2</v>
      </c>
      <c r="C5" s="320" t="s">
        <v>258</v>
      </c>
      <c r="D5" s="321">
        <v>4</v>
      </c>
      <c r="E5" s="321" t="s">
        <v>75</v>
      </c>
      <c r="F5" s="430">
        <v>4360</v>
      </c>
      <c r="G5" s="431">
        <v>6480</v>
      </c>
      <c r="H5" s="431">
        <v>1510</v>
      </c>
      <c r="I5" s="431">
        <v>165</v>
      </c>
      <c r="J5" s="431">
        <v>60</v>
      </c>
      <c r="K5" s="451">
        <v>16839</v>
      </c>
      <c r="L5" s="452">
        <v>225</v>
      </c>
      <c r="M5" s="329">
        <v>75</v>
      </c>
      <c r="N5" s="424">
        <v>70</v>
      </c>
      <c r="O5" s="456">
        <v>300</v>
      </c>
      <c r="P5" s="424">
        <v>30</v>
      </c>
      <c r="Q5" s="424">
        <v>0</v>
      </c>
      <c r="R5" s="425">
        <v>5</v>
      </c>
      <c r="S5" s="432">
        <v>91</v>
      </c>
      <c r="T5" s="433">
        <v>397.5</v>
      </c>
      <c r="U5" s="433">
        <v>37.5</v>
      </c>
      <c r="V5" s="433">
        <v>0</v>
      </c>
      <c r="W5" s="425">
        <v>5</v>
      </c>
      <c r="X5" s="432">
        <v>404.44444444444446</v>
      </c>
      <c r="Y5" s="433">
        <v>1766.6666666666667</v>
      </c>
      <c r="Z5" s="433">
        <v>166.66666666666666</v>
      </c>
      <c r="AA5" s="433">
        <v>0</v>
      </c>
      <c r="AB5" s="425">
        <v>22.222222222222221</v>
      </c>
      <c r="AC5" s="434">
        <v>1.3</v>
      </c>
      <c r="AD5" s="434">
        <v>1.325</v>
      </c>
      <c r="AE5" s="434">
        <v>1.25</v>
      </c>
      <c r="AF5" s="435">
        <v>2500</v>
      </c>
      <c r="AG5" s="436">
        <v>2500</v>
      </c>
      <c r="AH5" s="97">
        <v>830</v>
      </c>
      <c r="AI5" s="97">
        <v>2900</v>
      </c>
      <c r="AJ5" s="97">
        <v>6295</v>
      </c>
      <c r="AK5" s="97">
        <v>19050</v>
      </c>
      <c r="AL5" s="97">
        <v>22050</v>
      </c>
      <c r="AM5" s="437">
        <v>75530</v>
      </c>
      <c r="AN5" s="438">
        <v>1152750</v>
      </c>
      <c r="AO5" s="438">
        <v>236062.5</v>
      </c>
      <c r="AP5" s="438">
        <v>0</v>
      </c>
      <c r="AQ5" s="439">
        <v>110250</v>
      </c>
      <c r="AR5" s="437">
        <v>1574592.5</v>
      </c>
      <c r="AS5" s="438">
        <v>5250</v>
      </c>
      <c r="AT5" s="440">
        <v>6998.1888888888889</v>
      </c>
      <c r="AU5" s="329">
        <f>IFERROR(Tabla1[[#This Row],[CAUDAL TOTAL TRATADO GEM ]]/Tabla1[[#This Row],[CAUDAL DE TRATAMIENTO]],0)</f>
        <v>3</v>
      </c>
    </row>
    <row r="6" spans="1:47" ht="15" thickBot="1" x14ac:dyDescent="0.35">
      <c r="A6" s="563">
        <v>46055</v>
      </c>
      <c r="B6" s="96">
        <v>2</v>
      </c>
      <c r="C6" s="322" t="s">
        <v>259</v>
      </c>
      <c r="D6" s="323">
        <v>5</v>
      </c>
      <c r="E6" s="323" t="s">
        <v>77</v>
      </c>
      <c r="F6" s="441">
        <v>4290</v>
      </c>
      <c r="G6" s="442">
        <v>6180</v>
      </c>
      <c r="H6" s="442">
        <v>1480</v>
      </c>
      <c r="I6" s="442">
        <v>165</v>
      </c>
      <c r="J6" s="442">
        <v>55</v>
      </c>
      <c r="K6" s="453">
        <v>16842</v>
      </c>
      <c r="L6" s="450">
        <v>300</v>
      </c>
      <c r="M6" s="328">
        <v>75</v>
      </c>
      <c r="N6" s="426">
        <v>340</v>
      </c>
      <c r="O6" s="457">
        <v>340</v>
      </c>
      <c r="P6" s="426">
        <v>100</v>
      </c>
      <c r="Q6" s="426">
        <v>0</v>
      </c>
      <c r="R6" s="427">
        <v>5</v>
      </c>
      <c r="S6" s="432">
        <v>442</v>
      </c>
      <c r="T6" s="433">
        <v>450.5</v>
      </c>
      <c r="U6" s="433">
        <v>125</v>
      </c>
      <c r="V6" s="443">
        <v>0</v>
      </c>
      <c r="W6" s="427">
        <v>5</v>
      </c>
      <c r="X6" s="444">
        <v>1473.3333333333333</v>
      </c>
      <c r="Y6" s="443">
        <v>1501.6666666666667</v>
      </c>
      <c r="Z6" s="443">
        <v>416.66666666666669</v>
      </c>
      <c r="AA6" s="443">
        <v>0</v>
      </c>
      <c r="AB6" s="427">
        <v>16.666666666666668</v>
      </c>
      <c r="AC6" s="434">
        <v>1.3</v>
      </c>
      <c r="AD6" s="434">
        <v>1.325</v>
      </c>
      <c r="AE6" s="434">
        <v>1.25</v>
      </c>
      <c r="AF6" s="435">
        <v>2500</v>
      </c>
      <c r="AG6" s="436">
        <v>2500</v>
      </c>
      <c r="AH6" s="97">
        <v>830</v>
      </c>
      <c r="AI6" s="97">
        <v>2900</v>
      </c>
      <c r="AJ6" s="97">
        <v>6295</v>
      </c>
      <c r="AK6" s="97">
        <v>19050</v>
      </c>
      <c r="AL6" s="97">
        <v>22050</v>
      </c>
      <c r="AM6" s="445">
        <v>366860</v>
      </c>
      <c r="AN6" s="440">
        <v>1306450</v>
      </c>
      <c r="AO6" s="440">
        <v>786875</v>
      </c>
      <c r="AP6" s="440">
        <v>0</v>
      </c>
      <c r="AQ6" s="446">
        <v>110250</v>
      </c>
      <c r="AR6" s="445">
        <v>2570435</v>
      </c>
      <c r="AS6" s="440">
        <v>5250</v>
      </c>
      <c r="AT6" s="440">
        <v>8568.1166666666668</v>
      </c>
      <c r="AU6" s="328">
        <f>IFERROR(Tabla1[[#This Row],[CAUDAL TOTAL TRATADO GEM ]]/Tabla1[[#This Row],[CAUDAL DE TRATAMIENTO]],0)</f>
        <v>4</v>
      </c>
    </row>
    <row r="7" spans="1:47" ht="15" thickBot="1" x14ac:dyDescent="0.35">
      <c r="A7" s="564">
        <v>46055</v>
      </c>
      <c r="B7" s="96">
        <v>2</v>
      </c>
      <c r="C7" s="324" t="s">
        <v>30</v>
      </c>
      <c r="D7" s="325">
        <v>6</v>
      </c>
      <c r="E7" s="325" t="s">
        <v>76</v>
      </c>
      <c r="F7" s="441">
        <v>3950</v>
      </c>
      <c r="G7" s="442">
        <v>5840</v>
      </c>
      <c r="H7" s="442">
        <v>1380</v>
      </c>
      <c r="I7" s="442">
        <v>165</v>
      </c>
      <c r="J7" s="442">
        <v>50</v>
      </c>
      <c r="K7" s="454">
        <v>16846</v>
      </c>
      <c r="L7" s="455">
        <v>600</v>
      </c>
      <c r="M7" s="330">
        <v>75</v>
      </c>
      <c r="N7" s="428">
        <v>30</v>
      </c>
      <c r="O7" s="458">
        <v>180</v>
      </c>
      <c r="P7" s="428">
        <v>40</v>
      </c>
      <c r="Q7" s="428">
        <v>2.5</v>
      </c>
      <c r="R7" s="429">
        <v>5</v>
      </c>
      <c r="S7" s="432">
        <v>39</v>
      </c>
      <c r="T7" s="433">
        <v>238.5</v>
      </c>
      <c r="U7" s="433">
        <v>50</v>
      </c>
      <c r="V7" s="447">
        <v>2.5</v>
      </c>
      <c r="W7" s="429">
        <v>5</v>
      </c>
      <c r="X7" s="444">
        <v>65</v>
      </c>
      <c r="Y7" s="447">
        <v>397.5</v>
      </c>
      <c r="Z7" s="447">
        <v>83.333333333333329</v>
      </c>
      <c r="AA7" s="447">
        <v>4.166666666666667</v>
      </c>
      <c r="AB7" s="429">
        <v>8.3333333333333339</v>
      </c>
      <c r="AC7" s="434">
        <v>1.3</v>
      </c>
      <c r="AD7" s="434">
        <v>1.325</v>
      </c>
      <c r="AE7" s="434">
        <v>1.25</v>
      </c>
      <c r="AF7" s="435">
        <v>2500</v>
      </c>
      <c r="AG7" s="436">
        <v>2500</v>
      </c>
      <c r="AH7" s="97">
        <v>830</v>
      </c>
      <c r="AI7" s="97">
        <v>2900</v>
      </c>
      <c r="AJ7" s="97">
        <v>6295</v>
      </c>
      <c r="AK7" s="97">
        <v>19050</v>
      </c>
      <c r="AL7" s="97">
        <v>22050</v>
      </c>
      <c r="AM7" s="445">
        <v>32370</v>
      </c>
      <c r="AN7" s="448">
        <v>691650</v>
      </c>
      <c r="AO7" s="448">
        <v>314750</v>
      </c>
      <c r="AP7" s="448">
        <v>47625</v>
      </c>
      <c r="AQ7" s="449">
        <v>110250</v>
      </c>
      <c r="AR7" s="445">
        <v>1196645</v>
      </c>
      <c r="AS7" s="448">
        <v>5250</v>
      </c>
      <c r="AT7" s="440">
        <v>1994.4083333333333</v>
      </c>
      <c r="AU7" s="330">
        <f>IFERROR(Tabla1[[#This Row],[CAUDAL TOTAL TRATADO GEM ]]/Tabla1[[#This Row],[CAUDAL DE TRATAMIENTO]],0)</f>
        <v>8</v>
      </c>
    </row>
    <row r="8" spans="1:47" ht="15" thickBot="1" x14ac:dyDescent="0.35">
      <c r="A8" s="143">
        <v>46056</v>
      </c>
      <c r="B8" s="96">
        <v>3</v>
      </c>
      <c r="C8" s="320" t="s">
        <v>260</v>
      </c>
      <c r="D8" s="321">
        <v>7</v>
      </c>
      <c r="E8" s="321" t="s">
        <v>75</v>
      </c>
      <c r="F8" s="430">
        <v>3920</v>
      </c>
      <c r="G8" s="430">
        <v>5660</v>
      </c>
      <c r="H8" s="430">
        <v>1340</v>
      </c>
      <c r="I8" s="430">
        <v>162.5</v>
      </c>
      <c r="J8" s="430">
        <v>45</v>
      </c>
      <c r="K8" s="451">
        <v>16854</v>
      </c>
      <c r="L8" s="452">
        <v>600</v>
      </c>
      <c r="M8" s="329">
        <v>75</v>
      </c>
      <c r="N8" s="424">
        <v>30</v>
      </c>
      <c r="O8" s="456">
        <v>180</v>
      </c>
      <c r="P8" s="424">
        <v>40</v>
      </c>
      <c r="Q8" s="424">
        <v>2.5</v>
      </c>
      <c r="R8" s="425">
        <v>5</v>
      </c>
      <c r="S8" s="432">
        <v>39</v>
      </c>
      <c r="T8" s="433">
        <v>238.5</v>
      </c>
      <c r="U8" s="433">
        <v>50</v>
      </c>
      <c r="V8" s="433">
        <v>2.5</v>
      </c>
      <c r="W8" s="425">
        <v>5</v>
      </c>
      <c r="X8" s="432">
        <v>65</v>
      </c>
      <c r="Y8" s="433">
        <v>397.5</v>
      </c>
      <c r="Z8" s="433">
        <v>83.333333333333329</v>
      </c>
      <c r="AA8" s="433">
        <v>4.166666666666667</v>
      </c>
      <c r="AB8" s="425">
        <v>8.3333333333333339</v>
      </c>
      <c r="AC8" s="434">
        <v>1.3</v>
      </c>
      <c r="AD8" s="434">
        <v>1.325</v>
      </c>
      <c r="AE8" s="434">
        <v>1.25</v>
      </c>
      <c r="AF8" s="435">
        <v>2500</v>
      </c>
      <c r="AG8" s="436">
        <v>2500</v>
      </c>
      <c r="AH8" s="97">
        <v>830</v>
      </c>
      <c r="AI8" s="97">
        <v>2900</v>
      </c>
      <c r="AJ8" s="97">
        <v>6295</v>
      </c>
      <c r="AK8" s="97">
        <v>19050</v>
      </c>
      <c r="AL8" s="97">
        <v>22050</v>
      </c>
      <c r="AM8" s="437">
        <v>32370</v>
      </c>
      <c r="AN8" s="438">
        <v>691650</v>
      </c>
      <c r="AO8" s="438">
        <v>314750</v>
      </c>
      <c r="AP8" s="438">
        <v>47625</v>
      </c>
      <c r="AQ8" s="439">
        <v>110250</v>
      </c>
      <c r="AR8" s="437">
        <v>1196645</v>
      </c>
      <c r="AS8" s="438">
        <v>5250</v>
      </c>
      <c r="AT8" s="440">
        <v>1994.4083333333333</v>
      </c>
      <c r="AU8" s="329">
        <f>IFERROR(Tabla1[[#This Row],[CAUDAL TOTAL TRATADO GEM ]]/Tabla1[[#This Row],[CAUDAL DE TRATAMIENTO]],0)</f>
        <v>8</v>
      </c>
    </row>
    <row r="9" spans="1:47" ht="15" thickBot="1" x14ac:dyDescent="0.35">
      <c r="A9" s="563">
        <v>46056</v>
      </c>
      <c r="B9" s="96">
        <v>3</v>
      </c>
      <c r="C9" s="322" t="s">
        <v>261</v>
      </c>
      <c r="D9" s="323">
        <v>8</v>
      </c>
      <c r="E9" s="323" t="s">
        <v>77</v>
      </c>
      <c r="F9" s="441">
        <v>3890</v>
      </c>
      <c r="G9" s="442">
        <v>5480</v>
      </c>
      <c r="H9" s="442">
        <v>1300</v>
      </c>
      <c r="I9" s="442">
        <v>160</v>
      </c>
      <c r="J9" s="442">
        <v>40</v>
      </c>
      <c r="K9" s="453">
        <v>16862</v>
      </c>
      <c r="L9" s="450">
        <v>525</v>
      </c>
      <c r="M9" s="328">
        <v>75</v>
      </c>
      <c r="N9" s="426">
        <v>210</v>
      </c>
      <c r="O9" s="457">
        <v>340</v>
      </c>
      <c r="P9" s="426">
        <v>120</v>
      </c>
      <c r="Q9" s="426">
        <v>5</v>
      </c>
      <c r="R9" s="427">
        <v>5</v>
      </c>
      <c r="S9" s="432">
        <v>273</v>
      </c>
      <c r="T9" s="433">
        <v>450.5</v>
      </c>
      <c r="U9" s="433">
        <v>150</v>
      </c>
      <c r="V9" s="443">
        <v>5</v>
      </c>
      <c r="W9" s="427">
        <v>5</v>
      </c>
      <c r="X9" s="444">
        <v>520</v>
      </c>
      <c r="Y9" s="443">
        <v>858.09523809523807</v>
      </c>
      <c r="Z9" s="443">
        <v>285.71428571428572</v>
      </c>
      <c r="AA9" s="443">
        <v>9.5238095238095237</v>
      </c>
      <c r="AB9" s="427">
        <v>9.5238095238095237</v>
      </c>
      <c r="AC9" s="434">
        <v>1.3</v>
      </c>
      <c r="AD9" s="434">
        <v>1.325</v>
      </c>
      <c r="AE9" s="434">
        <v>1.25</v>
      </c>
      <c r="AF9" s="435">
        <v>2500</v>
      </c>
      <c r="AG9" s="436">
        <v>2500</v>
      </c>
      <c r="AH9" s="97">
        <v>830</v>
      </c>
      <c r="AI9" s="97">
        <v>2900</v>
      </c>
      <c r="AJ9" s="97">
        <v>6295</v>
      </c>
      <c r="AK9" s="97">
        <v>19050</v>
      </c>
      <c r="AL9" s="97">
        <v>22050</v>
      </c>
      <c r="AM9" s="445">
        <v>226590</v>
      </c>
      <c r="AN9" s="440">
        <v>1306450</v>
      </c>
      <c r="AO9" s="440">
        <v>944250</v>
      </c>
      <c r="AP9" s="440">
        <v>95250</v>
      </c>
      <c r="AQ9" s="446">
        <v>110250</v>
      </c>
      <c r="AR9" s="445">
        <v>2682790</v>
      </c>
      <c r="AS9" s="440">
        <v>5250</v>
      </c>
      <c r="AT9" s="440">
        <v>5110.0761904761903</v>
      </c>
      <c r="AU9" s="328">
        <f>IFERROR(Tabla1[[#This Row],[CAUDAL TOTAL TRATADO GEM ]]/Tabla1[[#This Row],[CAUDAL DE TRATAMIENTO]],0)</f>
        <v>7</v>
      </c>
    </row>
    <row r="10" spans="1:47" ht="15" thickBot="1" x14ac:dyDescent="0.35">
      <c r="A10" s="564">
        <v>46056</v>
      </c>
      <c r="B10" s="96">
        <v>3</v>
      </c>
      <c r="C10" s="324" t="s">
        <v>30</v>
      </c>
      <c r="D10" s="325">
        <v>9</v>
      </c>
      <c r="E10" s="325" t="s">
        <v>76</v>
      </c>
      <c r="F10" s="441">
        <v>3680</v>
      </c>
      <c r="G10" s="442">
        <v>5140</v>
      </c>
      <c r="H10" s="442">
        <v>1180</v>
      </c>
      <c r="I10" s="442">
        <v>155</v>
      </c>
      <c r="J10" s="442">
        <v>35</v>
      </c>
      <c r="K10" s="454">
        <v>16869</v>
      </c>
      <c r="L10" s="455">
        <v>525</v>
      </c>
      <c r="M10" s="330">
        <v>75</v>
      </c>
      <c r="N10" s="428">
        <v>310</v>
      </c>
      <c r="O10" s="458">
        <v>240</v>
      </c>
      <c r="P10" s="428">
        <v>130</v>
      </c>
      <c r="Q10" s="428">
        <v>0</v>
      </c>
      <c r="R10" s="429">
        <v>0</v>
      </c>
      <c r="S10" s="432">
        <v>403</v>
      </c>
      <c r="T10" s="433">
        <v>318</v>
      </c>
      <c r="U10" s="433">
        <v>162.5</v>
      </c>
      <c r="V10" s="447">
        <v>0</v>
      </c>
      <c r="W10" s="429">
        <v>0</v>
      </c>
      <c r="X10" s="444">
        <v>767.61904761904759</v>
      </c>
      <c r="Y10" s="447">
        <v>605.71428571428567</v>
      </c>
      <c r="Z10" s="447">
        <v>309.52380952380952</v>
      </c>
      <c r="AA10" s="447">
        <v>0</v>
      </c>
      <c r="AB10" s="429">
        <v>0</v>
      </c>
      <c r="AC10" s="434">
        <v>1.3</v>
      </c>
      <c r="AD10" s="434">
        <v>1.325</v>
      </c>
      <c r="AE10" s="434">
        <v>1.25</v>
      </c>
      <c r="AF10" s="435">
        <v>2500</v>
      </c>
      <c r="AG10" s="436">
        <v>2500</v>
      </c>
      <c r="AH10" s="97">
        <v>830</v>
      </c>
      <c r="AI10" s="97">
        <v>2900</v>
      </c>
      <c r="AJ10" s="97">
        <v>6295</v>
      </c>
      <c r="AK10" s="97">
        <v>19050</v>
      </c>
      <c r="AL10" s="97">
        <v>22050</v>
      </c>
      <c r="AM10" s="445">
        <v>334490</v>
      </c>
      <c r="AN10" s="448">
        <v>922200</v>
      </c>
      <c r="AO10" s="448">
        <v>1022937.5</v>
      </c>
      <c r="AP10" s="448">
        <v>0</v>
      </c>
      <c r="AQ10" s="449">
        <v>0</v>
      </c>
      <c r="AR10" s="445">
        <v>2279627.5</v>
      </c>
      <c r="AS10" s="448">
        <v>5250</v>
      </c>
      <c r="AT10" s="440">
        <v>4342.1476190476187</v>
      </c>
      <c r="AU10" s="330">
        <f>IFERROR(Tabla1[[#This Row],[CAUDAL TOTAL TRATADO GEM ]]/Tabla1[[#This Row],[CAUDAL DE TRATAMIENTO]],0)</f>
        <v>7</v>
      </c>
    </row>
    <row r="11" spans="1:47" ht="15" thickBot="1" x14ac:dyDescent="0.35">
      <c r="A11" s="143">
        <v>46057</v>
      </c>
      <c r="B11" s="96">
        <v>4</v>
      </c>
      <c r="C11" s="320" t="s">
        <v>262</v>
      </c>
      <c r="D11" s="321">
        <v>10</v>
      </c>
      <c r="E11" s="321" t="s">
        <v>75</v>
      </c>
      <c r="F11" s="430">
        <v>3370</v>
      </c>
      <c r="G11" s="431">
        <v>4900</v>
      </c>
      <c r="H11" s="431">
        <v>1050</v>
      </c>
      <c r="I11" s="431">
        <v>155</v>
      </c>
      <c r="J11" s="431">
        <v>30</v>
      </c>
      <c r="K11" s="451">
        <v>16876</v>
      </c>
      <c r="L11" s="452">
        <v>525</v>
      </c>
      <c r="M11" s="329">
        <v>75</v>
      </c>
      <c r="N11" s="424">
        <v>280</v>
      </c>
      <c r="O11" s="456">
        <v>210</v>
      </c>
      <c r="P11" s="424">
        <v>110</v>
      </c>
      <c r="Q11" s="424">
        <v>0</v>
      </c>
      <c r="R11" s="425">
        <v>0</v>
      </c>
      <c r="S11" s="432">
        <v>364</v>
      </c>
      <c r="T11" s="433">
        <v>278.25</v>
      </c>
      <c r="U11" s="433">
        <v>137.5</v>
      </c>
      <c r="V11" s="433">
        <v>0</v>
      </c>
      <c r="W11" s="425">
        <v>0</v>
      </c>
      <c r="X11" s="432">
        <v>693.33333333333337</v>
      </c>
      <c r="Y11" s="433">
        <v>530</v>
      </c>
      <c r="Z11" s="433">
        <v>261.90476190476193</v>
      </c>
      <c r="AA11" s="433">
        <v>0</v>
      </c>
      <c r="AB11" s="425">
        <v>0</v>
      </c>
      <c r="AC11" s="434">
        <v>1.3</v>
      </c>
      <c r="AD11" s="434">
        <v>1.325</v>
      </c>
      <c r="AE11" s="434">
        <v>1.25</v>
      </c>
      <c r="AF11" s="435">
        <v>2500</v>
      </c>
      <c r="AG11" s="436">
        <v>2500</v>
      </c>
      <c r="AH11" s="97">
        <v>830</v>
      </c>
      <c r="AI11" s="97">
        <v>2900</v>
      </c>
      <c r="AJ11" s="97">
        <v>6295</v>
      </c>
      <c r="AK11" s="97">
        <v>19050</v>
      </c>
      <c r="AL11" s="97">
        <v>22050</v>
      </c>
      <c r="AM11" s="437">
        <v>302120</v>
      </c>
      <c r="AN11" s="438">
        <v>806925</v>
      </c>
      <c r="AO11" s="438">
        <v>865562.5</v>
      </c>
      <c r="AP11" s="438">
        <v>0</v>
      </c>
      <c r="AQ11" s="439">
        <v>0</v>
      </c>
      <c r="AR11" s="437">
        <v>1974607.5</v>
      </c>
      <c r="AS11" s="438">
        <v>5250</v>
      </c>
      <c r="AT11" s="440">
        <v>3761.1571428571428</v>
      </c>
      <c r="AU11" s="329">
        <f>IFERROR(Tabla1[[#This Row],[CAUDAL TOTAL TRATADO GEM ]]/Tabla1[[#This Row],[CAUDAL DE TRATAMIENTO]],0)</f>
        <v>7</v>
      </c>
    </row>
    <row r="12" spans="1:47" ht="15" thickBot="1" x14ac:dyDescent="0.35">
      <c r="A12" s="563">
        <v>46057</v>
      </c>
      <c r="B12" s="96">
        <v>4</v>
      </c>
      <c r="C12" s="322" t="s">
        <v>263</v>
      </c>
      <c r="D12" s="323">
        <v>11</v>
      </c>
      <c r="E12" s="323" t="s">
        <v>77</v>
      </c>
      <c r="F12" s="441">
        <v>3090</v>
      </c>
      <c r="G12" s="442">
        <v>4690</v>
      </c>
      <c r="H12" s="442">
        <v>940</v>
      </c>
      <c r="I12" s="442">
        <v>150</v>
      </c>
      <c r="J12" s="442">
        <v>25</v>
      </c>
      <c r="K12" s="453">
        <v>16883</v>
      </c>
      <c r="L12" s="450">
        <v>525</v>
      </c>
      <c r="M12" s="328">
        <v>75</v>
      </c>
      <c r="N12" s="426">
        <v>280</v>
      </c>
      <c r="O12" s="457">
        <v>280</v>
      </c>
      <c r="P12" s="426">
        <v>40</v>
      </c>
      <c r="Q12" s="426">
        <v>0</v>
      </c>
      <c r="R12" s="427">
        <v>0</v>
      </c>
      <c r="S12" s="432">
        <v>364</v>
      </c>
      <c r="T12" s="433">
        <v>371</v>
      </c>
      <c r="U12" s="433">
        <v>50</v>
      </c>
      <c r="V12" s="443">
        <v>0</v>
      </c>
      <c r="W12" s="427">
        <v>0</v>
      </c>
      <c r="X12" s="444">
        <v>693.33333333333337</v>
      </c>
      <c r="Y12" s="443">
        <v>706.66666666666663</v>
      </c>
      <c r="Z12" s="443">
        <v>95.238095238095241</v>
      </c>
      <c r="AA12" s="443">
        <v>0</v>
      </c>
      <c r="AB12" s="427">
        <v>0</v>
      </c>
      <c r="AC12" s="434">
        <v>1.3</v>
      </c>
      <c r="AD12" s="434">
        <v>1.325</v>
      </c>
      <c r="AE12" s="434">
        <v>1.25</v>
      </c>
      <c r="AF12" s="435">
        <v>2500</v>
      </c>
      <c r="AG12" s="436">
        <v>2500</v>
      </c>
      <c r="AH12" s="97">
        <v>830</v>
      </c>
      <c r="AI12" s="97">
        <v>2900</v>
      </c>
      <c r="AJ12" s="97">
        <v>6295</v>
      </c>
      <c r="AK12" s="97">
        <v>19050</v>
      </c>
      <c r="AL12" s="97">
        <v>22050</v>
      </c>
      <c r="AM12" s="445">
        <v>302120</v>
      </c>
      <c r="AN12" s="440">
        <v>1075900</v>
      </c>
      <c r="AO12" s="440">
        <v>314750</v>
      </c>
      <c r="AP12" s="440">
        <v>0</v>
      </c>
      <c r="AQ12" s="446">
        <v>0</v>
      </c>
      <c r="AR12" s="445">
        <v>1692770</v>
      </c>
      <c r="AS12" s="440">
        <v>5250</v>
      </c>
      <c r="AT12" s="440">
        <v>3224.3238095238094</v>
      </c>
      <c r="AU12" s="328">
        <f>IFERROR(Tabla1[[#This Row],[CAUDAL TOTAL TRATADO GEM ]]/Tabla1[[#This Row],[CAUDAL DE TRATAMIENTO]],0)</f>
        <v>7</v>
      </c>
    </row>
    <row r="13" spans="1:47" ht="15" thickBot="1" x14ac:dyDescent="0.35">
      <c r="A13" s="564">
        <v>46057</v>
      </c>
      <c r="B13" s="96">
        <v>4</v>
      </c>
      <c r="C13" s="324" t="s">
        <v>30</v>
      </c>
      <c r="D13" s="325">
        <v>12</v>
      </c>
      <c r="E13" s="325" t="s">
        <v>76</v>
      </c>
      <c r="F13" s="441">
        <v>2810</v>
      </c>
      <c r="G13" s="442">
        <v>4410</v>
      </c>
      <c r="H13" s="442">
        <v>900</v>
      </c>
      <c r="I13" s="442">
        <v>150</v>
      </c>
      <c r="J13" s="442">
        <v>65</v>
      </c>
      <c r="K13" s="454">
        <v>16890</v>
      </c>
      <c r="L13" s="455">
        <v>525</v>
      </c>
      <c r="M13" s="330">
        <v>75</v>
      </c>
      <c r="N13" s="428">
        <v>310</v>
      </c>
      <c r="O13" s="458">
        <v>290</v>
      </c>
      <c r="P13" s="428">
        <v>100</v>
      </c>
      <c r="Q13" s="428">
        <v>0</v>
      </c>
      <c r="R13" s="429">
        <v>0</v>
      </c>
      <c r="S13" s="432">
        <v>403</v>
      </c>
      <c r="T13" s="433">
        <v>384.25</v>
      </c>
      <c r="U13" s="433">
        <v>125</v>
      </c>
      <c r="V13" s="447">
        <v>0</v>
      </c>
      <c r="W13" s="429">
        <v>0</v>
      </c>
      <c r="X13" s="444">
        <v>767.61904761904759</v>
      </c>
      <c r="Y13" s="447">
        <v>731.90476190476193</v>
      </c>
      <c r="Z13" s="447">
        <v>238.0952380952381</v>
      </c>
      <c r="AA13" s="447">
        <v>0</v>
      </c>
      <c r="AB13" s="429">
        <v>0</v>
      </c>
      <c r="AC13" s="434">
        <v>1.3</v>
      </c>
      <c r="AD13" s="434">
        <v>1.325</v>
      </c>
      <c r="AE13" s="434">
        <v>1.25</v>
      </c>
      <c r="AF13" s="435">
        <v>2500</v>
      </c>
      <c r="AG13" s="436">
        <v>2500</v>
      </c>
      <c r="AH13" s="97">
        <v>830</v>
      </c>
      <c r="AI13" s="97">
        <v>2900</v>
      </c>
      <c r="AJ13" s="97">
        <v>6295</v>
      </c>
      <c r="AK13" s="97">
        <v>19050</v>
      </c>
      <c r="AL13" s="97">
        <v>22050</v>
      </c>
      <c r="AM13" s="445">
        <v>334490</v>
      </c>
      <c r="AN13" s="448">
        <v>1114325</v>
      </c>
      <c r="AO13" s="448">
        <v>786875</v>
      </c>
      <c r="AP13" s="448">
        <v>0</v>
      </c>
      <c r="AQ13" s="449">
        <v>0</v>
      </c>
      <c r="AR13" s="445">
        <v>2235690</v>
      </c>
      <c r="AS13" s="448">
        <v>5250</v>
      </c>
      <c r="AT13" s="440">
        <v>4258.4571428571426</v>
      </c>
      <c r="AU13" s="330">
        <f>IFERROR(Tabla1[[#This Row],[CAUDAL TOTAL TRATADO GEM ]]/Tabla1[[#This Row],[CAUDAL DE TRATAMIENTO]],0)</f>
        <v>7</v>
      </c>
    </row>
    <row r="14" spans="1:47" ht="15" thickBot="1" x14ac:dyDescent="0.35">
      <c r="A14" s="143">
        <v>46058</v>
      </c>
      <c r="B14" s="96">
        <v>5</v>
      </c>
      <c r="C14" s="320" t="s">
        <v>264</v>
      </c>
      <c r="D14" s="321">
        <v>13</v>
      </c>
      <c r="E14" s="321" t="s">
        <v>75</v>
      </c>
      <c r="F14" s="430">
        <v>2500</v>
      </c>
      <c r="G14" s="431">
        <v>4120</v>
      </c>
      <c r="H14" s="431">
        <v>800</v>
      </c>
      <c r="I14" s="431">
        <v>145</v>
      </c>
      <c r="J14" s="431">
        <v>60</v>
      </c>
      <c r="K14" s="451">
        <v>16897</v>
      </c>
      <c r="L14" s="452">
        <v>600</v>
      </c>
      <c r="M14" s="329">
        <v>75</v>
      </c>
      <c r="N14" s="424">
        <v>110</v>
      </c>
      <c r="O14" s="456">
        <v>120</v>
      </c>
      <c r="P14" s="424">
        <v>80</v>
      </c>
      <c r="Q14" s="424">
        <v>0</v>
      </c>
      <c r="R14" s="425">
        <v>0</v>
      </c>
      <c r="S14" s="432">
        <v>143</v>
      </c>
      <c r="T14" s="433">
        <v>159</v>
      </c>
      <c r="U14" s="433">
        <v>100</v>
      </c>
      <c r="V14" s="433">
        <v>0</v>
      </c>
      <c r="W14" s="425">
        <v>0</v>
      </c>
      <c r="X14" s="432">
        <v>238.33333333333334</v>
      </c>
      <c r="Y14" s="433">
        <v>265</v>
      </c>
      <c r="Z14" s="433">
        <v>166.66666666666666</v>
      </c>
      <c r="AA14" s="433">
        <v>0</v>
      </c>
      <c r="AB14" s="425">
        <v>0</v>
      </c>
      <c r="AC14" s="434">
        <v>1.3</v>
      </c>
      <c r="AD14" s="434">
        <v>1.325</v>
      </c>
      <c r="AE14" s="434">
        <v>1.25</v>
      </c>
      <c r="AF14" s="435">
        <v>2500</v>
      </c>
      <c r="AG14" s="436">
        <v>2500</v>
      </c>
      <c r="AH14" s="97">
        <v>830</v>
      </c>
      <c r="AI14" s="97">
        <v>2900</v>
      </c>
      <c r="AJ14" s="97">
        <v>6295</v>
      </c>
      <c r="AK14" s="97">
        <v>19050</v>
      </c>
      <c r="AL14" s="97">
        <v>22050</v>
      </c>
      <c r="AM14" s="437">
        <v>118690</v>
      </c>
      <c r="AN14" s="438">
        <v>461100</v>
      </c>
      <c r="AO14" s="438">
        <v>629500</v>
      </c>
      <c r="AP14" s="438">
        <v>0</v>
      </c>
      <c r="AQ14" s="439">
        <v>0</v>
      </c>
      <c r="AR14" s="437">
        <v>1209290</v>
      </c>
      <c r="AS14" s="438">
        <v>5250</v>
      </c>
      <c r="AT14" s="440">
        <v>2015.4833333333333</v>
      </c>
      <c r="AU14" s="329">
        <f>IFERROR(Tabla1[[#This Row],[CAUDAL TOTAL TRATADO GEM ]]/Tabla1[[#This Row],[CAUDAL DE TRATAMIENTO]],0)</f>
        <v>8</v>
      </c>
    </row>
    <row r="15" spans="1:47" ht="15" thickBot="1" x14ac:dyDescent="0.35">
      <c r="A15" s="563">
        <v>46058</v>
      </c>
      <c r="B15" s="96">
        <v>5</v>
      </c>
      <c r="C15" s="322" t="s">
        <v>265</v>
      </c>
      <c r="D15" s="323">
        <v>14</v>
      </c>
      <c r="E15" s="323" t="s">
        <v>77</v>
      </c>
      <c r="F15" s="441">
        <v>2390</v>
      </c>
      <c r="G15" s="442">
        <v>4000</v>
      </c>
      <c r="H15" s="442">
        <v>720</v>
      </c>
      <c r="I15" s="442">
        <v>145</v>
      </c>
      <c r="J15" s="442">
        <v>55</v>
      </c>
      <c r="K15" s="453">
        <v>16905</v>
      </c>
      <c r="L15" s="450">
        <v>525</v>
      </c>
      <c r="M15" s="328">
        <v>75</v>
      </c>
      <c r="N15" s="426">
        <v>90</v>
      </c>
      <c r="O15" s="457">
        <v>260</v>
      </c>
      <c r="P15" s="426">
        <v>70</v>
      </c>
      <c r="Q15" s="426">
        <v>5</v>
      </c>
      <c r="R15" s="427">
        <v>5</v>
      </c>
      <c r="S15" s="432">
        <v>117</v>
      </c>
      <c r="T15" s="433">
        <v>344.5</v>
      </c>
      <c r="U15" s="433">
        <v>87.5</v>
      </c>
      <c r="V15" s="443">
        <v>5</v>
      </c>
      <c r="W15" s="427">
        <v>5</v>
      </c>
      <c r="X15" s="444">
        <v>222.85714285714286</v>
      </c>
      <c r="Y15" s="443">
        <v>656.19047619047615</v>
      </c>
      <c r="Z15" s="443">
        <v>166.66666666666666</v>
      </c>
      <c r="AA15" s="443">
        <v>9.5238095238095237</v>
      </c>
      <c r="AB15" s="427">
        <v>9.5238095238095237</v>
      </c>
      <c r="AC15" s="434">
        <v>1.3</v>
      </c>
      <c r="AD15" s="434">
        <v>1.325</v>
      </c>
      <c r="AE15" s="434">
        <v>1.25</v>
      </c>
      <c r="AF15" s="435">
        <v>2500</v>
      </c>
      <c r="AG15" s="436">
        <v>2500</v>
      </c>
      <c r="AH15" s="97">
        <v>830</v>
      </c>
      <c r="AI15" s="97">
        <v>2900</v>
      </c>
      <c r="AJ15" s="97">
        <v>6295</v>
      </c>
      <c r="AK15" s="97">
        <v>19050</v>
      </c>
      <c r="AL15" s="97">
        <v>22050</v>
      </c>
      <c r="AM15" s="445">
        <v>97110</v>
      </c>
      <c r="AN15" s="440">
        <v>999050</v>
      </c>
      <c r="AO15" s="440">
        <v>550812.5</v>
      </c>
      <c r="AP15" s="440">
        <v>95250</v>
      </c>
      <c r="AQ15" s="446">
        <v>110250</v>
      </c>
      <c r="AR15" s="445">
        <v>1852472.5</v>
      </c>
      <c r="AS15" s="440">
        <v>5250</v>
      </c>
      <c r="AT15" s="440">
        <v>3528.5190476190478</v>
      </c>
      <c r="AU15" s="328">
        <f>IFERROR(Tabla1[[#This Row],[CAUDAL TOTAL TRATADO GEM ]]/Tabla1[[#This Row],[CAUDAL DE TRATAMIENTO]],0)</f>
        <v>7</v>
      </c>
    </row>
    <row r="16" spans="1:47" ht="15" thickBot="1" x14ac:dyDescent="0.35">
      <c r="A16" s="564">
        <v>46058</v>
      </c>
      <c r="B16" s="96">
        <v>5</v>
      </c>
      <c r="C16" s="324" t="s">
        <v>30</v>
      </c>
      <c r="D16" s="325">
        <v>15</v>
      </c>
      <c r="E16" s="325" t="s">
        <v>76</v>
      </c>
      <c r="F16" s="441">
        <v>2300</v>
      </c>
      <c r="G16" s="442">
        <v>3740</v>
      </c>
      <c r="H16" s="442">
        <v>650</v>
      </c>
      <c r="I16" s="442">
        <v>140</v>
      </c>
      <c r="J16" s="442">
        <v>50</v>
      </c>
      <c r="K16" s="454">
        <v>16912</v>
      </c>
      <c r="L16" s="455">
        <v>375</v>
      </c>
      <c r="M16" s="330">
        <v>75</v>
      </c>
      <c r="N16" s="428">
        <v>100</v>
      </c>
      <c r="O16" s="458">
        <v>150</v>
      </c>
      <c r="P16" s="428">
        <v>50</v>
      </c>
      <c r="Q16" s="428">
        <v>5</v>
      </c>
      <c r="R16" s="429">
        <v>5</v>
      </c>
      <c r="S16" s="432">
        <v>130</v>
      </c>
      <c r="T16" s="433">
        <v>198.75</v>
      </c>
      <c r="U16" s="433">
        <v>62.5</v>
      </c>
      <c r="V16" s="447">
        <v>5</v>
      </c>
      <c r="W16" s="429">
        <v>5</v>
      </c>
      <c r="X16" s="444">
        <v>346.66666666666669</v>
      </c>
      <c r="Y16" s="447">
        <v>530</v>
      </c>
      <c r="Z16" s="447">
        <v>166.66666666666666</v>
      </c>
      <c r="AA16" s="447">
        <v>13.333333333333334</v>
      </c>
      <c r="AB16" s="429">
        <v>13.333333333333334</v>
      </c>
      <c r="AC16" s="434">
        <v>1.3</v>
      </c>
      <c r="AD16" s="434">
        <v>1.325</v>
      </c>
      <c r="AE16" s="434">
        <v>1.25</v>
      </c>
      <c r="AF16" s="435">
        <v>2500</v>
      </c>
      <c r="AG16" s="436">
        <v>2500</v>
      </c>
      <c r="AH16" s="97">
        <v>830</v>
      </c>
      <c r="AI16" s="97">
        <v>2900</v>
      </c>
      <c r="AJ16" s="97">
        <v>6295</v>
      </c>
      <c r="AK16" s="97">
        <v>19050</v>
      </c>
      <c r="AL16" s="97">
        <v>22050</v>
      </c>
      <c r="AM16" s="445">
        <v>107900</v>
      </c>
      <c r="AN16" s="448">
        <v>576375</v>
      </c>
      <c r="AO16" s="448">
        <v>393437.5</v>
      </c>
      <c r="AP16" s="448">
        <v>95250</v>
      </c>
      <c r="AQ16" s="449">
        <v>110250</v>
      </c>
      <c r="AR16" s="445">
        <v>1283212.5</v>
      </c>
      <c r="AS16" s="448">
        <v>5250</v>
      </c>
      <c r="AT16" s="440">
        <v>3421.9</v>
      </c>
      <c r="AU16" s="330">
        <f>IFERROR(Tabla1[[#This Row],[CAUDAL TOTAL TRATADO GEM ]]/Tabla1[[#This Row],[CAUDAL DE TRATAMIENTO]],0)</f>
        <v>5</v>
      </c>
    </row>
    <row r="17" spans="1:47" ht="15" thickBot="1" x14ac:dyDescent="0.35">
      <c r="A17" s="143">
        <v>46059</v>
      </c>
      <c r="B17" s="96">
        <v>6</v>
      </c>
      <c r="C17" s="320" t="s">
        <v>266</v>
      </c>
      <c r="D17" s="321">
        <v>16</v>
      </c>
      <c r="E17" s="321" t="s">
        <v>75</v>
      </c>
      <c r="F17" s="430">
        <v>2200</v>
      </c>
      <c r="G17" s="431">
        <v>3590</v>
      </c>
      <c r="H17" s="431">
        <v>600</v>
      </c>
      <c r="I17" s="431">
        <v>135</v>
      </c>
      <c r="J17" s="431">
        <v>45</v>
      </c>
      <c r="K17" s="451">
        <v>16917</v>
      </c>
      <c r="L17" s="452">
        <v>525</v>
      </c>
      <c r="M17" s="329">
        <v>75</v>
      </c>
      <c r="N17" s="424">
        <v>50</v>
      </c>
      <c r="O17" s="456">
        <v>340</v>
      </c>
      <c r="P17" s="424">
        <v>90</v>
      </c>
      <c r="Q17" s="424">
        <v>0</v>
      </c>
      <c r="R17" s="425">
        <v>10</v>
      </c>
      <c r="S17" s="432">
        <v>65</v>
      </c>
      <c r="T17" s="433">
        <v>450.5</v>
      </c>
      <c r="U17" s="433">
        <v>112.5</v>
      </c>
      <c r="V17" s="433">
        <v>0</v>
      </c>
      <c r="W17" s="425">
        <v>10</v>
      </c>
      <c r="X17" s="432">
        <v>123.80952380952381</v>
      </c>
      <c r="Y17" s="433">
        <v>858.09523809523807</v>
      </c>
      <c r="Z17" s="433">
        <v>214.28571428571428</v>
      </c>
      <c r="AA17" s="433">
        <v>0</v>
      </c>
      <c r="AB17" s="425">
        <v>19.047619047619047</v>
      </c>
      <c r="AC17" s="434">
        <v>1.3</v>
      </c>
      <c r="AD17" s="434">
        <v>1.325</v>
      </c>
      <c r="AE17" s="434">
        <v>1.25</v>
      </c>
      <c r="AF17" s="435">
        <v>2500</v>
      </c>
      <c r="AG17" s="436">
        <v>2500</v>
      </c>
      <c r="AH17" s="97">
        <v>830</v>
      </c>
      <c r="AI17" s="97">
        <v>2900</v>
      </c>
      <c r="AJ17" s="97">
        <v>6295</v>
      </c>
      <c r="AK17" s="97">
        <v>19050</v>
      </c>
      <c r="AL17" s="97">
        <v>22050</v>
      </c>
      <c r="AM17" s="437">
        <v>53950</v>
      </c>
      <c r="AN17" s="438">
        <v>1306450</v>
      </c>
      <c r="AO17" s="438">
        <v>708187.5</v>
      </c>
      <c r="AP17" s="438">
        <v>0</v>
      </c>
      <c r="AQ17" s="439">
        <v>220500</v>
      </c>
      <c r="AR17" s="437">
        <v>2289087.5</v>
      </c>
      <c r="AS17" s="438">
        <v>5250</v>
      </c>
      <c r="AT17" s="440">
        <v>4360.166666666667</v>
      </c>
      <c r="AU17" s="329">
        <f>IFERROR(Tabla1[[#This Row],[CAUDAL TOTAL TRATADO GEM ]]/Tabla1[[#This Row],[CAUDAL DE TRATAMIENTO]],0)</f>
        <v>7</v>
      </c>
    </row>
    <row r="18" spans="1:47" ht="15" thickBot="1" x14ac:dyDescent="0.35">
      <c r="A18" s="563">
        <v>46059</v>
      </c>
      <c r="B18" s="96">
        <v>6</v>
      </c>
      <c r="C18" s="322" t="s">
        <v>267</v>
      </c>
      <c r="D18" s="323">
        <v>17</v>
      </c>
      <c r="E18" s="323" t="s">
        <v>77</v>
      </c>
      <c r="F18" s="441">
        <v>2150</v>
      </c>
      <c r="G18" s="442">
        <v>3250</v>
      </c>
      <c r="H18" s="442">
        <v>510</v>
      </c>
      <c r="I18" s="442">
        <v>135</v>
      </c>
      <c r="J18" s="442">
        <v>35</v>
      </c>
      <c r="K18" s="453">
        <v>16924</v>
      </c>
      <c r="L18" s="450">
        <v>450</v>
      </c>
      <c r="M18" s="328">
        <v>75</v>
      </c>
      <c r="N18" s="426">
        <v>50</v>
      </c>
      <c r="O18" s="457">
        <v>240</v>
      </c>
      <c r="P18" s="426">
        <v>70</v>
      </c>
      <c r="Q18" s="426">
        <v>5</v>
      </c>
      <c r="R18" s="427">
        <v>5</v>
      </c>
      <c r="S18" s="432">
        <v>65</v>
      </c>
      <c r="T18" s="433">
        <v>318</v>
      </c>
      <c r="U18" s="433">
        <v>87.5</v>
      </c>
      <c r="V18" s="443">
        <v>5</v>
      </c>
      <c r="W18" s="427">
        <v>5</v>
      </c>
      <c r="X18" s="444">
        <v>144.44444444444446</v>
      </c>
      <c r="Y18" s="443">
        <v>706.66666666666663</v>
      </c>
      <c r="Z18" s="443">
        <v>194.44444444444446</v>
      </c>
      <c r="AA18" s="443">
        <v>11.111111111111111</v>
      </c>
      <c r="AB18" s="427">
        <v>11.111111111111111</v>
      </c>
      <c r="AC18" s="434">
        <v>1.3</v>
      </c>
      <c r="AD18" s="434">
        <v>1.325</v>
      </c>
      <c r="AE18" s="434">
        <v>1.25</v>
      </c>
      <c r="AF18" s="435">
        <v>2500</v>
      </c>
      <c r="AG18" s="436">
        <v>2500</v>
      </c>
      <c r="AH18" s="97">
        <v>830</v>
      </c>
      <c r="AI18" s="97">
        <v>2900</v>
      </c>
      <c r="AJ18" s="97">
        <v>6295</v>
      </c>
      <c r="AK18" s="97">
        <v>19050</v>
      </c>
      <c r="AL18" s="97">
        <v>22050</v>
      </c>
      <c r="AM18" s="445">
        <v>53950</v>
      </c>
      <c r="AN18" s="440">
        <v>922200</v>
      </c>
      <c r="AO18" s="440">
        <v>550812.5</v>
      </c>
      <c r="AP18" s="440">
        <v>95250</v>
      </c>
      <c r="AQ18" s="446">
        <v>110250</v>
      </c>
      <c r="AR18" s="445">
        <v>1732462.5</v>
      </c>
      <c r="AS18" s="440">
        <v>5250</v>
      </c>
      <c r="AT18" s="440">
        <v>3849.9166666666665</v>
      </c>
      <c r="AU18" s="328">
        <f>IFERROR(Tabla1[[#This Row],[CAUDAL TOTAL TRATADO GEM ]]/Tabla1[[#This Row],[CAUDAL DE TRATAMIENTO]],0)</f>
        <v>6</v>
      </c>
    </row>
    <row r="19" spans="1:47" ht="15" thickBot="1" x14ac:dyDescent="0.35">
      <c r="A19" s="564">
        <v>46059</v>
      </c>
      <c r="B19" s="96">
        <v>6</v>
      </c>
      <c r="C19" s="324" t="s">
        <v>30</v>
      </c>
      <c r="D19" s="325">
        <v>18</v>
      </c>
      <c r="E19" s="325" t="s">
        <v>76</v>
      </c>
      <c r="F19" s="441">
        <v>2100</v>
      </c>
      <c r="G19" s="442">
        <v>3010</v>
      </c>
      <c r="H19" s="442">
        <v>440</v>
      </c>
      <c r="I19" s="442">
        <v>130</v>
      </c>
      <c r="J19" s="442">
        <v>30</v>
      </c>
      <c r="K19" s="454">
        <v>16930</v>
      </c>
      <c r="L19" s="455">
        <v>375</v>
      </c>
      <c r="M19" s="330">
        <v>75</v>
      </c>
      <c r="N19" s="428">
        <v>100</v>
      </c>
      <c r="O19" s="459">
        <v>210</v>
      </c>
      <c r="P19" s="428">
        <v>50</v>
      </c>
      <c r="Q19" s="428">
        <v>0</v>
      </c>
      <c r="R19" s="460">
        <v>5</v>
      </c>
      <c r="S19" s="432">
        <v>130</v>
      </c>
      <c r="T19" s="433">
        <v>278.25</v>
      </c>
      <c r="U19" s="433">
        <v>62.5</v>
      </c>
      <c r="V19" s="447">
        <v>0</v>
      </c>
      <c r="W19" s="429">
        <v>5</v>
      </c>
      <c r="X19" s="444">
        <v>346.66666666666669</v>
      </c>
      <c r="Y19" s="447">
        <v>742</v>
      </c>
      <c r="Z19" s="447">
        <v>166.66666666666666</v>
      </c>
      <c r="AA19" s="447">
        <v>0</v>
      </c>
      <c r="AB19" s="429">
        <v>13.333333333333334</v>
      </c>
      <c r="AC19" s="434">
        <v>1.3</v>
      </c>
      <c r="AD19" s="434">
        <v>1.325</v>
      </c>
      <c r="AE19" s="434">
        <v>1.25</v>
      </c>
      <c r="AF19" s="435">
        <v>2500</v>
      </c>
      <c r="AG19" s="436">
        <v>2500</v>
      </c>
      <c r="AH19" s="97">
        <v>830</v>
      </c>
      <c r="AI19" s="97">
        <v>2900</v>
      </c>
      <c r="AJ19" s="97">
        <v>6295</v>
      </c>
      <c r="AK19" s="97">
        <v>19050</v>
      </c>
      <c r="AL19" s="97">
        <v>22050</v>
      </c>
      <c r="AM19" s="445">
        <v>107900</v>
      </c>
      <c r="AN19" s="448">
        <v>806925</v>
      </c>
      <c r="AO19" s="448">
        <v>393437.5</v>
      </c>
      <c r="AP19" s="448">
        <v>0</v>
      </c>
      <c r="AQ19" s="449">
        <v>110250</v>
      </c>
      <c r="AR19" s="445">
        <v>1418512.5</v>
      </c>
      <c r="AS19" s="448">
        <v>5250</v>
      </c>
      <c r="AT19" s="440">
        <v>3782.7</v>
      </c>
      <c r="AU19" s="330">
        <f>IFERROR(Tabla1[[#This Row],[CAUDAL TOTAL TRATADO GEM ]]/Tabla1[[#This Row],[CAUDAL DE TRATAMIENTO]],0)</f>
        <v>5</v>
      </c>
    </row>
    <row r="20" spans="1:47" ht="15" thickBot="1" x14ac:dyDescent="0.35">
      <c r="A20" s="143">
        <v>46060</v>
      </c>
      <c r="B20" s="96">
        <v>7</v>
      </c>
      <c r="C20" s="320" t="s">
        <v>268</v>
      </c>
      <c r="D20" s="321">
        <v>19</v>
      </c>
      <c r="E20" s="321" t="s">
        <v>75</v>
      </c>
      <c r="F20" s="430">
        <v>2000</v>
      </c>
      <c r="G20" s="431">
        <v>6800</v>
      </c>
      <c r="H20" s="431">
        <v>390</v>
      </c>
      <c r="I20" s="431">
        <v>130</v>
      </c>
      <c r="J20" s="431">
        <v>125</v>
      </c>
      <c r="K20" s="451">
        <v>16935</v>
      </c>
      <c r="L20" s="452">
        <v>600</v>
      </c>
      <c r="M20" s="329">
        <v>75</v>
      </c>
      <c r="N20" s="424">
        <v>250</v>
      </c>
      <c r="O20" s="456">
        <v>500</v>
      </c>
      <c r="P20" s="424">
        <v>60</v>
      </c>
      <c r="Q20" s="424">
        <v>5</v>
      </c>
      <c r="R20" s="425">
        <v>5</v>
      </c>
      <c r="S20" s="432">
        <v>325</v>
      </c>
      <c r="T20" s="433">
        <v>662.5</v>
      </c>
      <c r="U20" s="433">
        <v>75</v>
      </c>
      <c r="V20" s="433">
        <v>5</v>
      </c>
      <c r="W20" s="425">
        <v>5</v>
      </c>
      <c r="X20" s="432">
        <v>541.66666666666663</v>
      </c>
      <c r="Y20" s="433">
        <v>1104.1666666666667</v>
      </c>
      <c r="Z20" s="433">
        <v>125</v>
      </c>
      <c r="AA20" s="433">
        <v>8.3333333333333339</v>
      </c>
      <c r="AB20" s="425">
        <v>8.3333333333333339</v>
      </c>
      <c r="AC20" s="434">
        <v>1.3</v>
      </c>
      <c r="AD20" s="434">
        <v>1.325</v>
      </c>
      <c r="AE20" s="434">
        <v>1.25</v>
      </c>
      <c r="AF20" s="435">
        <v>2500</v>
      </c>
      <c r="AG20" s="436">
        <v>2500</v>
      </c>
      <c r="AH20" s="97">
        <v>830</v>
      </c>
      <c r="AI20" s="97">
        <v>2900</v>
      </c>
      <c r="AJ20" s="97">
        <v>6295</v>
      </c>
      <c r="AK20" s="97">
        <v>19050</v>
      </c>
      <c r="AL20" s="97">
        <v>22050</v>
      </c>
      <c r="AM20" s="437">
        <v>269750</v>
      </c>
      <c r="AN20" s="438">
        <v>1921250</v>
      </c>
      <c r="AO20" s="438">
        <v>472125</v>
      </c>
      <c r="AP20" s="438">
        <v>95250</v>
      </c>
      <c r="AQ20" s="439">
        <v>110250</v>
      </c>
      <c r="AR20" s="437">
        <v>2868625</v>
      </c>
      <c r="AS20" s="438">
        <v>5250</v>
      </c>
      <c r="AT20" s="440">
        <v>4781.041666666667</v>
      </c>
      <c r="AU20" s="329">
        <f>IFERROR(Tabla1[[#This Row],[CAUDAL TOTAL TRATADO GEM ]]/Tabla1[[#This Row],[CAUDAL DE TRATAMIENTO]],0)</f>
        <v>8</v>
      </c>
    </row>
    <row r="21" spans="1:47" s="110" customFormat="1" ht="15" thickBot="1" x14ac:dyDescent="0.35">
      <c r="A21" s="563">
        <v>46060</v>
      </c>
      <c r="B21" s="331">
        <v>7</v>
      </c>
      <c r="C21" s="332" t="s">
        <v>269</v>
      </c>
      <c r="D21" s="333">
        <v>20</v>
      </c>
      <c r="E21" s="333" t="s">
        <v>77</v>
      </c>
      <c r="F21" s="441">
        <v>1750</v>
      </c>
      <c r="G21" s="442">
        <v>6300</v>
      </c>
      <c r="H21" s="442">
        <v>330</v>
      </c>
      <c r="I21" s="442">
        <v>125</v>
      </c>
      <c r="J21" s="442">
        <v>120</v>
      </c>
      <c r="K21" s="453">
        <v>16943</v>
      </c>
      <c r="L21" s="450">
        <v>300</v>
      </c>
      <c r="M21" s="328">
        <v>75</v>
      </c>
      <c r="N21" s="426">
        <v>0</v>
      </c>
      <c r="O21" s="457">
        <v>0</v>
      </c>
      <c r="P21" s="426">
        <v>0</v>
      </c>
      <c r="Q21" s="426">
        <v>5</v>
      </c>
      <c r="R21" s="427">
        <v>5</v>
      </c>
      <c r="S21" s="432">
        <v>0</v>
      </c>
      <c r="T21" s="433">
        <v>0</v>
      </c>
      <c r="U21" s="433">
        <v>0</v>
      </c>
      <c r="V21" s="443">
        <v>5</v>
      </c>
      <c r="W21" s="427">
        <v>5</v>
      </c>
      <c r="X21" s="444">
        <v>0</v>
      </c>
      <c r="Y21" s="443">
        <v>0</v>
      </c>
      <c r="Z21" s="443">
        <v>0</v>
      </c>
      <c r="AA21" s="443">
        <v>16.666666666666668</v>
      </c>
      <c r="AB21" s="427">
        <v>16.666666666666668</v>
      </c>
      <c r="AC21" s="434">
        <v>1.3</v>
      </c>
      <c r="AD21" s="434">
        <v>1.325</v>
      </c>
      <c r="AE21" s="434">
        <v>1.25</v>
      </c>
      <c r="AF21" s="435">
        <v>2500</v>
      </c>
      <c r="AG21" s="436">
        <v>2500</v>
      </c>
      <c r="AH21" s="97">
        <v>830</v>
      </c>
      <c r="AI21" s="97">
        <v>2900</v>
      </c>
      <c r="AJ21" s="97">
        <v>6295</v>
      </c>
      <c r="AK21" s="97">
        <v>19050</v>
      </c>
      <c r="AL21" s="97">
        <v>22050</v>
      </c>
      <c r="AM21" s="445">
        <v>0</v>
      </c>
      <c r="AN21" s="440">
        <v>0</v>
      </c>
      <c r="AO21" s="440">
        <v>0</v>
      </c>
      <c r="AP21" s="440">
        <v>95250</v>
      </c>
      <c r="AQ21" s="446">
        <v>110250</v>
      </c>
      <c r="AR21" s="445">
        <v>205500</v>
      </c>
      <c r="AS21" s="440">
        <v>5250</v>
      </c>
      <c r="AT21" s="440">
        <v>685</v>
      </c>
      <c r="AU21" s="328">
        <f>IFERROR(Tabla1[[#This Row],[CAUDAL TOTAL TRATADO GEM ]]/Tabla1[[#This Row],[CAUDAL DE TRATAMIENTO]],0)</f>
        <v>4</v>
      </c>
    </row>
    <row r="22" spans="1:47" s="110" customFormat="1" ht="15" thickBot="1" x14ac:dyDescent="0.35">
      <c r="A22" s="564">
        <v>46060</v>
      </c>
      <c r="B22" s="331">
        <v>7</v>
      </c>
      <c r="C22" s="334" t="s">
        <v>30</v>
      </c>
      <c r="D22" s="335">
        <v>21</v>
      </c>
      <c r="E22" s="335" t="s">
        <v>76</v>
      </c>
      <c r="F22" s="441">
        <v>1750</v>
      </c>
      <c r="G22" s="442">
        <v>6300</v>
      </c>
      <c r="H22" s="442">
        <v>330</v>
      </c>
      <c r="I22" s="442">
        <v>120</v>
      </c>
      <c r="J22" s="442">
        <v>115</v>
      </c>
      <c r="K22" s="454">
        <v>16947</v>
      </c>
      <c r="L22" s="455">
        <v>0</v>
      </c>
      <c r="M22" s="330">
        <v>75</v>
      </c>
      <c r="N22" s="428">
        <v>0</v>
      </c>
      <c r="O22" s="458">
        <v>0</v>
      </c>
      <c r="P22" s="428">
        <v>0</v>
      </c>
      <c r="Q22" s="428">
        <v>0</v>
      </c>
      <c r="R22" s="429">
        <v>0</v>
      </c>
      <c r="S22" s="432">
        <v>0</v>
      </c>
      <c r="T22" s="433">
        <v>0</v>
      </c>
      <c r="U22" s="433">
        <v>0</v>
      </c>
      <c r="V22" s="447">
        <v>0</v>
      </c>
      <c r="W22" s="429">
        <v>0</v>
      </c>
      <c r="X22" s="444" t="e">
        <v>#DIV/0!</v>
      </c>
      <c r="Y22" s="447" t="e">
        <v>#DIV/0!</v>
      </c>
      <c r="Z22" s="447" t="e">
        <v>#DIV/0!</v>
      </c>
      <c r="AA22" s="447" t="e">
        <v>#DIV/0!</v>
      </c>
      <c r="AB22" s="429" t="e">
        <v>#DIV/0!</v>
      </c>
      <c r="AC22" s="434">
        <v>1.3</v>
      </c>
      <c r="AD22" s="434">
        <v>1.325</v>
      </c>
      <c r="AE22" s="434">
        <v>1.25</v>
      </c>
      <c r="AF22" s="435">
        <v>2500</v>
      </c>
      <c r="AG22" s="436">
        <v>2500</v>
      </c>
      <c r="AH22" s="97">
        <v>830</v>
      </c>
      <c r="AI22" s="97">
        <v>2900</v>
      </c>
      <c r="AJ22" s="97">
        <v>6295</v>
      </c>
      <c r="AK22" s="97">
        <v>19050</v>
      </c>
      <c r="AL22" s="97">
        <v>22050</v>
      </c>
      <c r="AM22" s="445">
        <v>0</v>
      </c>
      <c r="AN22" s="448">
        <v>0</v>
      </c>
      <c r="AO22" s="448">
        <v>0</v>
      </c>
      <c r="AP22" s="448">
        <v>0</v>
      </c>
      <c r="AQ22" s="449">
        <v>0</v>
      </c>
      <c r="AR22" s="445">
        <v>0</v>
      </c>
      <c r="AS22" s="448">
        <v>5250</v>
      </c>
      <c r="AT22" s="440" t="e">
        <v>#DIV/0!</v>
      </c>
      <c r="AU22" s="330">
        <f>IFERROR(Tabla1[[#This Row],[CAUDAL TOTAL TRATADO GEM ]]/Tabla1[[#This Row],[CAUDAL DE TRATAMIENTO]],0)</f>
        <v>0</v>
      </c>
    </row>
    <row r="23" spans="1:47" s="110" customFormat="1" ht="15" thickBot="1" x14ac:dyDescent="0.35">
      <c r="A23" s="143">
        <v>46061</v>
      </c>
      <c r="B23" s="331">
        <v>8</v>
      </c>
      <c r="C23" s="336" t="s">
        <v>270</v>
      </c>
      <c r="D23" s="337">
        <v>22</v>
      </c>
      <c r="E23" s="337" t="s">
        <v>75</v>
      </c>
      <c r="F23" s="430">
        <v>1750</v>
      </c>
      <c r="G23" s="431">
        <v>6300</v>
      </c>
      <c r="H23" s="431">
        <v>330</v>
      </c>
      <c r="I23" s="431">
        <v>120</v>
      </c>
      <c r="J23" s="431">
        <v>115</v>
      </c>
      <c r="K23" s="451">
        <v>16947</v>
      </c>
      <c r="L23" s="452">
        <v>0</v>
      </c>
      <c r="M23" s="329">
        <v>75</v>
      </c>
      <c r="N23" s="424">
        <v>0</v>
      </c>
      <c r="O23" s="456">
        <v>0</v>
      </c>
      <c r="P23" s="424">
        <v>0</v>
      </c>
      <c r="Q23" s="424">
        <v>0</v>
      </c>
      <c r="R23" s="425">
        <v>0</v>
      </c>
      <c r="S23" s="432">
        <v>0</v>
      </c>
      <c r="T23" s="433">
        <v>0</v>
      </c>
      <c r="U23" s="433">
        <v>0</v>
      </c>
      <c r="V23" s="433">
        <v>0</v>
      </c>
      <c r="W23" s="425">
        <v>0</v>
      </c>
      <c r="X23" s="432" t="e">
        <v>#DIV/0!</v>
      </c>
      <c r="Y23" s="433" t="e">
        <v>#DIV/0!</v>
      </c>
      <c r="Z23" s="433" t="e">
        <v>#DIV/0!</v>
      </c>
      <c r="AA23" s="433" t="e">
        <v>#DIV/0!</v>
      </c>
      <c r="AB23" s="425" t="e">
        <v>#DIV/0!</v>
      </c>
      <c r="AC23" s="434">
        <v>1.3</v>
      </c>
      <c r="AD23" s="434">
        <v>1.325</v>
      </c>
      <c r="AE23" s="434">
        <v>1.25</v>
      </c>
      <c r="AF23" s="435">
        <v>2500</v>
      </c>
      <c r="AG23" s="436">
        <v>2500</v>
      </c>
      <c r="AH23" s="97">
        <v>830</v>
      </c>
      <c r="AI23" s="97">
        <v>2900</v>
      </c>
      <c r="AJ23" s="97">
        <v>6295</v>
      </c>
      <c r="AK23" s="97">
        <v>19050</v>
      </c>
      <c r="AL23" s="97">
        <v>22050</v>
      </c>
      <c r="AM23" s="437">
        <v>0</v>
      </c>
      <c r="AN23" s="438">
        <v>0</v>
      </c>
      <c r="AO23" s="438">
        <v>0</v>
      </c>
      <c r="AP23" s="438">
        <v>0</v>
      </c>
      <c r="AQ23" s="439">
        <v>0</v>
      </c>
      <c r="AR23" s="437">
        <v>0</v>
      </c>
      <c r="AS23" s="438">
        <v>5250</v>
      </c>
      <c r="AT23" s="440" t="e">
        <v>#DIV/0!</v>
      </c>
      <c r="AU23" s="329">
        <f>IFERROR(Tabla1[[#This Row],[CAUDAL TOTAL TRATADO GEM ]]/Tabla1[[#This Row],[CAUDAL DE TRATAMIENTO]],0)</f>
        <v>0</v>
      </c>
    </row>
    <row r="24" spans="1:47" s="110" customFormat="1" ht="15" thickBot="1" x14ac:dyDescent="0.35">
      <c r="A24" s="563">
        <v>46061</v>
      </c>
      <c r="B24" s="331">
        <v>8</v>
      </c>
      <c r="C24" s="332" t="s">
        <v>271</v>
      </c>
      <c r="D24" s="333">
        <v>23</v>
      </c>
      <c r="E24" s="333" t="s">
        <v>77</v>
      </c>
      <c r="F24" s="441">
        <v>1750</v>
      </c>
      <c r="G24" s="442">
        <v>6300</v>
      </c>
      <c r="H24" s="442">
        <v>330</v>
      </c>
      <c r="I24" s="442">
        <v>120</v>
      </c>
      <c r="J24" s="442">
        <v>115</v>
      </c>
      <c r="K24" s="453">
        <v>16947</v>
      </c>
      <c r="L24" s="450">
        <v>0</v>
      </c>
      <c r="M24" s="328">
        <v>75</v>
      </c>
      <c r="N24" s="426">
        <v>0</v>
      </c>
      <c r="O24" s="457">
        <v>0</v>
      </c>
      <c r="P24" s="426">
        <v>0</v>
      </c>
      <c r="Q24" s="426">
        <v>5</v>
      </c>
      <c r="R24" s="427">
        <v>0</v>
      </c>
      <c r="S24" s="432">
        <v>0</v>
      </c>
      <c r="T24" s="433">
        <v>0</v>
      </c>
      <c r="U24" s="433">
        <v>0</v>
      </c>
      <c r="V24" s="443">
        <v>5</v>
      </c>
      <c r="W24" s="427">
        <v>0</v>
      </c>
      <c r="X24" s="444" t="e">
        <v>#DIV/0!</v>
      </c>
      <c r="Y24" s="443" t="e">
        <v>#DIV/0!</v>
      </c>
      <c r="Z24" s="443" t="e">
        <v>#DIV/0!</v>
      </c>
      <c r="AA24" s="443" t="e">
        <v>#DIV/0!</v>
      </c>
      <c r="AB24" s="427" t="e">
        <v>#DIV/0!</v>
      </c>
      <c r="AC24" s="434">
        <v>1.3</v>
      </c>
      <c r="AD24" s="434">
        <v>1.325</v>
      </c>
      <c r="AE24" s="434">
        <v>1.25</v>
      </c>
      <c r="AF24" s="435">
        <v>2500</v>
      </c>
      <c r="AG24" s="436">
        <v>2500</v>
      </c>
      <c r="AH24" s="97">
        <v>830</v>
      </c>
      <c r="AI24" s="97">
        <v>2900</v>
      </c>
      <c r="AJ24" s="97">
        <v>6295</v>
      </c>
      <c r="AK24" s="97">
        <v>19050</v>
      </c>
      <c r="AL24" s="97">
        <v>22050</v>
      </c>
      <c r="AM24" s="445">
        <v>0</v>
      </c>
      <c r="AN24" s="440">
        <v>0</v>
      </c>
      <c r="AO24" s="440">
        <v>0</v>
      </c>
      <c r="AP24" s="440">
        <v>95250</v>
      </c>
      <c r="AQ24" s="446">
        <v>0</v>
      </c>
      <c r="AR24" s="445">
        <v>95250</v>
      </c>
      <c r="AS24" s="440">
        <v>5250</v>
      </c>
      <c r="AT24" s="440" t="e">
        <v>#DIV/0!</v>
      </c>
      <c r="AU24" s="328">
        <f>IFERROR(Tabla1[[#This Row],[CAUDAL TOTAL TRATADO GEM ]]/Tabla1[[#This Row],[CAUDAL DE TRATAMIENTO]],0)</f>
        <v>0</v>
      </c>
    </row>
    <row r="25" spans="1:47" s="110" customFormat="1" ht="15" thickBot="1" x14ac:dyDescent="0.35">
      <c r="A25" s="564">
        <v>46061</v>
      </c>
      <c r="B25" s="331">
        <v>8</v>
      </c>
      <c r="C25" s="334" t="s">
        <v>30</v>
      </c>
      <c r="D25" s="335">
        <v>24</v>
      </c>
      <c r="E25" s="335" t="s">
        <v>76</v>
      </c>
      <c r="F25" s="441">
        <v>1750</v>
      </c>
      <c r="G25" s="442">
        <v>6300</v>
      </c>
      <c r="H25" s="442">
        <v>330</v>
      </c>
      <c r="I25" s="442">
        <v>115</v>
      </c>
      <c r="J25" s="442">
        <v>115</v>
      </c>
      <c r="K25" s="454">
        <v>16947</v>
      </c>
      <c r="L25" s="455">
        <v>0</v>
      </c>
      <c r="M25" s="330">
        <v>75</v>
      </c>
      <c r="N25" s="428">
        <v>0</v>
      </c>
      <c r="O25" s="458">
        <v>0</v>
      </c>
      <c r="P25" s="428">
        <v>0</v>
      </c>
      <c r="Q25" s="428">
        <v>0</v>
      </c>
      <c r="R25" s="429">
        <v>0</v>
      </c>
      <c r="S25" s="432">
        <v>0</v>
      </c>
      <c r="T25" s="433">
        <v>0</v>
      </c>
      <c r="U25" s="433">
        <v>0</v>
      </c>
      <c r="V25" s="447">
        <v>0</v>
      </c>
      <c r="W25" s="429">
        <v>0</v>
      </c>
      <c r="X25" s="444" t="e">
        <v>#DIV/0!</v>
      </c>
      <c r="Y25" s="447" t="e">
        <v>#DIV/0!</v>
      </c>
      <c r="Z25" s="447" t="e">
        <v>#DIV/0!</v>
      </c>
      <c r="AA25" s="447" t="e">
        <v>#DIV/0!</v>
      </c>
      <c r="AB25" s="429" t="e">
        <v>#DIV/0!</v>
      </c>
      <c r="AC25" s="434">
        <v>1.3</v>
      </c>
      <c r="AD25" s="434">
        <v>1.325</v>
      </c>
      <c r="AE25" s="434">
        <v>1.25</v>
      </c>
      <c r="AF25" s="435">
        <v>2500</v>
      </c>
      <c r="AG25" s="436">
        <v>2500</v>
      </c>
      <c r="AH25" s="97">
        <v>830</v>
      </c>
      <c r="AI25" s="97">
        <v>2900</v>
      </c>
      <c r="AJ25" s="97">
        <v>6295</v>
      </c>
      <c r="AK25" s="97">
        <v>19050</v>
      </c>
      <c r="AL25" s="97">
        <v>22050</v>
      </c>
      <c r="AM25" s="445">
        <v>0</v>
      </c>
      <c r="AN25" s="448">
        <v>0</v>
      </c>
      <c r="AO25" s="448">
        <v>0</v>
      </c>
      <c r="AP25" s="448">
        <v>0</v>
      </c>
      <c r="AQ25" s="449">
        <v>0</v>
      </c>
      <c r="AR25" s="445">
        <v>0</v>
      </c>
      <c r="AS25" s="448">
        <v>5250</v>
      </c>
      <c r="AT25" s="440" t="e">
        <v>#DIV/0!</v>
      </c>
      <c r="AU25" s="330">
        <f>IFERROR(Tabla1[[#This Row],[CAUDAL TOTAL TRATADO GEM ]]/Tabla1[[#This Row],[CAUDAL DE TRATAMIENTO]],0)</f>
        <v>0</v>
      </c>
    </row>
    <row r="26" spans="1:47" s="110" customFormat="1" ht="15" thickBot="1" x14ac:dyDescent="0.35">
      <c r="A26" s="143">
        <v>46062</v>
      </c>
      <c r="B26" s="331">
        <v>9</v>
      </c>
      <c r="C26" s="336" t="s">
        <v>272</v>
      </c>
      <c r="D26" s="337">
        <v>25</v>
      </c>
      <c r="E26" s="337" t="s">
        <v>75</v>
      </c>
      <c r="F26" s="430">
        <v>1750</v>
      </c>
      <c r="G26" s="431">
        <v>6300</v>
      </c>
      <c r="H26" s="431">
        <v>330</v>
      </c>
      <c r="I26" s="431">
        <v>115</v>
      </c>
      <c r="J26" s="431">
        <v>115</v>
      </c>
      <c r="K26" s="451">
        <v>16947</v>
      </c>
      <c r="L26" s="452">
        <v>525</v>
      </c>
      <c r="M26" s="329">
        <v>75</v>
      </c>
      <c r="N26" s="461">
        <v>80</v>
      </c>
      <c r="O26" s="456">
        <v>370</v>
      </c>
      <c r="P26" s="461">
        <v>80</v>
      </c>
      <c r="Q26" s="461">
        <v>5</v>
      </c>
      <c r="R26" s="425">
        <v>5</v>
      </c>
      <c r="S26" s="432">
        <v>104</v>
      </c>
      <c r="T26" s="433">
        <v>490.25</v>
      </c>
      <c r="U26" s="433">
        <v>100</v>
      </c>
      <c r="V26" s="433">
        <v>5</v>
      </c>
      <c r="W26" s="425">
        <v>5</v>
      </c>
      <c r="X26" s="432">
        <v>198.0952380952381</v>
      </c>
      <c r="Y26" s="433">
        <v>933.80952380952385</v>
      </c>
      <c r="Z26" s="433">
        <v>190.47619047619048</v>
      </c>
      <c r="AA26" s="433">
        <v>9.5238095238095237</v>
      </c>
      <c r="AB26" s="425">
        <v>9.5238095238095237</v>
      </c>
      <c r="AC26" s="434">
        <v>1.3</v>
      </c>
      <c r="AD26" s="434">
        <v>1.325</v>
      </c>
      <c r="AE26" s="434">
        <v>1.25</v>
      </c>
      <c r="AF26" s="435">
        <v>2500</v>
      </c>
      <c r="AG26" s="436">
        <v>2500</v>
      </c>
      <c r="AH26" s="97">
        <v>830</v>
      </c>
      <c r="AI26" s="97">
        <v>2900</v>
      </c>
      <c r="AJ26" s="97">
        <v>6295</v>
      </c>
      <c r="AK26" s="97">
        <v>19050</v>
      </c>
      <c r="AL26" s="97">
        <v>22050</v>
      </c>
      <c r="AM26" s="437">
        <v>86320</v>
      </c>
      <c r="AN26" s="438">
        <v>1421725</v>
      </c>
      <c r="AO26" s="438">
        <v>629500</v>
      </c>
      <c r="AP26" s="438">
        <v>95250</v>
      </c>
      <c r="AQ26" s="439">
        <v>110250</v>
      </c>
      <c r="AR26" s="437">
        <v>2343045</v>
      </c>
      <c r="AS26" s="438">
        <v>5250</v>
      </c>
      <c r="AT26" s="440">
        <v>4462.9428571428571</v>
      </c>
      <c r="AU26" s="329">
        <f>IFERROR(Tabla1[[#This Row],[CAUDAL TOTAL TRATADO GEM ]]/Tabla1[[#This Row],[CAUDAL DE TRATAMIENTO]],0)</f>
        <v>7</v>
      </c>
    </row>
    <row r="27" spans="1:47" s="341" customFormat="1" ht="15" thickBot="1" x14ac:dyDescent="0.35">
      <c r="A27" s="563">
        <v>46062</v>
      </c>
      <c r="B27" s="338">
        <v>9</v>
      </c>
      <c r="C27" s="342" t="s">
        <v>273</v>
      </c>
      <c r="D27" s="343">
        <v>26</v>
      </c>
      <c r="E27" s="343" t="s">
        <v>77</v>
      </c>
      <c r="F27" s="441">
        <v>2670</v>
      </c>
      <c r="G27" s="442">
        <v>5930</v>
      </c>
      <c r="H27" s="442">
        <v>2250</v>
      </c>
      <c r="I27" s="442">
        <v>160</v>
      </c>
      <c r="J27" s="442">
        <v>110</v>
      </c>
      <c r="K27" s="453">
        <v>16954</v>
      </c>
      <c r="L27" s="450">
        <v>525</v>
      </c>
      <c r="M27" s="328">
        <v>75</v>
      </c>
      <c r="N27" s="426">
        <v>0</v>
      </c>
      <c r="O27" s="457">
        <v>130</v>
      </c>
      <c r="P27" s="426">
        <v>20</v>
      </c>
      <c r="Q27" s="426">
        <v>0</v>
      </c>
      <c r="R27" s="427">
        <v>5</v>
      </c>
      <c r="S27" s="432">
        <v>0</v>
      </c>
      <c r="T27" s="433">
        <v>172.25</v>
      </c>
      <c r="U27" s="433">
        <v>25</v>
      </c>
      <c r="V27" s="443">
        <v>0</v>
      </c>
      <c r="W27" s="427">
        <v>5</v>
      </c>
      <c r="X27" s="444">
        <v>0</v>
      </c>
      <c r="Y27" s="443">
        <v>328.09523809523807</v>
      </c>
      <c r="Z27" s="443">
        <v>47.61904761904762</v>
      </c>
      <c r="AA27" s="443">
        <v>0</v>
      </c>
      <c r="AB27" s="427">
        <v>9.5238095238095237</v>
      </c>
      <c r="AC27" s="434">
        <v>1.3</v>
      </c>
      <c r="AD27" s="434">
        <v>1.325</v>
      </c>
      <c r="AE27" s="434">
        <v>1.25</v>
      </c>
      <c r="AF27" s="435">
        <v>2500</v>
      </c>
      <c r="AG27" s="436">
        <v>2500</v>
      </c>
      <c r="AH27" s="97">
        <v>830</v>
      </c>
      <c r="AI27" s="97">
        <v>2900</v>
      </c>
      <c r="AJ27" s="97">
        <v>6295</v>
      </c>
      <c r="AK27" s="97">
        <v>19050</v>
      </c>
      <c r="AL27" s="97">
        <v>22050</v>
      </c>
      <c r="AM27" s="445">
        <v>0</v>
      </c>
      <c r="AN27" s="440">
        <v>499525</v>
      </c>
      <c r="AO27" s="440">
        <v>157375</v>
      </c>
      <c r="AP27" s="440">
        <v>0</v>
      </c>
      <c r="AQ27" s="446">
        <v>110250</v>
      </c>
      <c r="AR27" s="445">
        <v>767150</v>
      </c>
      <c r="AS27" s="440">
        <v>5250</v>
      </c>
      <c r="AT27" s="440">
        <v>1461.2380952380952</v>
      </c>
      <c r="AU27" s="328">
        <f>IFERROR(Tabla1[[#This Row],[CAUDAL TOTAL TRATADO GEM ]]/Tabla1[[#This Row],[CAUDAL DE TRATAMIENTO]],0)</f>
        <v>7</v>
      </c>
    </row>
    <row r="28" spans="1:47" s="341" customFormat="1" ht="15" thickBot="1" x14ac:dyDescent="0.35">
      <c r="A28" s="564">
        <v>46062</v>
      </c>
      <c r="B28" s="338">
        <v>9</v>
      </c>
      <c r="C28" s="344" t="s">
        <v>30</v>
      </c>
      <c r="D28" s="345">
        <v>27</v>
      </c>
      <c r="E28" s="345" t="s">
        <v>76</v>
      </c>
      <c r="F28" s="441">
        <v>2670</v>
      </c>
      <c r="G28" s="442">
        <v>5800</v>
      </c>
      <c r="H28" s="442">
        <v>2230</v>
      </c>
      <c r="I28" s="442">
        <v>160</v>
      </c>
      <c r="J28" s="442">
        <v>105</v>
      </c>
      <c r="K28" s="454">
        <v>16961</v>
      </c>
      <c r="L28" s="455">
        <v>300</v>
      </c>
      <c r="M28" s="330">
        <v>75</v>
      </c>
      <c r="N28" s="428">
        <v>70</v>
      </c>
      <c r="O28" s="458">
        <v>200</v>
      </c>
      <c r="P28" s="428">
        <v>40</v>
      </c>
      <c r="Q28" s="428">
        <v>5</v>
      </c>
      <c r="R28" s="429">
        <v>5</v>
      </c>
      <c r="S28" s="432">
        <v>91</v>
      </c>
      <c r="T28" s="433">
        <v>265</v>
      </c>
      <c r="U28" s="433">
        <v>50</v>
      </c>
      <c r="V28" s="447">
        <v>5</v>
      </c>
      <c r="W28" s="429">
        <v>5</v>
      </c>
      <c r="X28" s="444">
        <v>303.33333333333331</v>
      </c>
      <c r="Y28" s="447">
        <v>883.33333333333337</v>
      </c>
      <c r="Z28" s="447">
        <v>166.66666666666666</v>
      </c>
      <c r="AA28" s="447">
        <v>16.666666666666668</v>
      </c>
      <c r="AB28" s="429">
        <v>16.666666666666668</v>
      </c>
      <c r="AC28" s="434">
        <v>1.3</v>
      </c>
      <c r="AD28" s="434">
        <v>1.325</v>
      </c>
      <c r="AE28" s="434">
        <v>1.25</v>
      </c>
      <c r="AF28" s="435">
        <v>2500</v>
      </c>
      <c r="AG28" s="436">
        <v>2500</v>
      </c>
      <c r="AH28" s="97">
        <v>830</v>
      </c>
      <c r="AI28" s="97">
        <v>2900</v>
      </c>
      <c r="AJ28" s="97">
        <v>6295</v>
      </c>
      <c r="AK28" s="97">
        <v>19050</v>
      </c>
      <c r="AL28" s="97">
        <v>22050</v>
      </c>
      <c r="AM28" s="445">
        <v>75530</v>
      </c>
      <c r="AN28" s="448">
        <v>768500</v>
      </c>
      <c r="AO28" s="448">
        <v>314750</v>
      </c>
      <c r="AP28" s="448">
        <v>95250</v>
      </c>
      <c r="AQ28" s="449">
        <v>110250</v>
      </c>
      <c r="AR28" s="445">
        <v>1364280</v>
      </c>
      <c r="AS28" s="448">
        <v>5250</v>
      </c>
      <c r="AT28" s="440">
        <v>4547.6000000000004</v>
      </c>
      <c r="AU28" s="330">
        <f>IFERROR(Tabla1[[#This Row],[CAUDAL TOTAL TRATADO GEM ]]/Tabla1[[#This Row],[CAUDAL DE TRATAMIENTO]],0)</f>
        <v>4</v>
      </c>
    </row>
    <row r="29" spans="1:47" s="341" customFormat="1" ht="15" thickBot="1" x14ac:dyDescent="0.35">
      <c r="A29" s="143">
        <v>46063</v>
      </c>
      <c r="B29" s="338">
        <v>10</v>
      </c>
      <c r="C29" s="339" t="s">
        <v>274</v>
      </c>
      <c r="D29" s="340">
        <v>28</v>
      </c>
      <c r="E29" s="340" t="s">
        <v>75</v>
      </c>
      <c r="F29" s="430">
        <v>2600</v>
      </c>
      <c r="G29" s="431">
        <v>5600</v>
      </c>
      <c r="H29" s="431">
        <v>2190</v>
      </c>
      <c r="I29" s="431">
        <v>155</v>
      </c>
      <c r="J29" s="431">
        <v>100</v>
      </c>
      <c r="K29" s="451">
        <v>16965</v>
      </c>
      <c r="L29" s="452">
        <v>525</v>
      </c>
      <c r="M29" s="329">
        <v>75</v>
      </c>
      <c r="N29" s="424">
        <v>20</v>
      </c>
      <c r="O29" s="456">
        <v>20</v>
      </c>
      <c r="P29" s="424">
        <v>10</v>
      </c>
      <c r="Q29" s="424">
        <v>0</v>
      </c>
      <c r="R29" s="425">
        <v>5</v>
      </c>
      <c r="S29" s="432">
        <v>26</v>
      </c>
      <c r="T29" s="433">
        <v>26.5</v>
      </c>
      <c r="U29" s="433">
        <v>12.5</v>
      </c>
      <c r="V29" s="433">
        <v>0</v>
      </c>
      <c r="W29" s="425">
        <v>5</v>
      </c>
      <c r="X29" s="432">
        <v>49.523809523809526</v>
      </c>
      <c r="Y29" s="433">
        <v>50.476190476190474</v>
      </c>
      <c r="Z29" s="433">
        <v>23.80952380952381</v>
      </c>
      <c r="AA29" s="433">
        <v>0</v>
      </c>
      <c r="AB29" s="425">
        <v>9.5238095238095237</v>
      </c>
      <c r="AC29" s="434">
        <v>1.3</v>
      </c>
      <c r="AD29" s="434">
        <v>1.325</v>
      </c>
      <c r="AE29" s="434">
        <v>1.25</v>
      </c>
      <c r="AF29" s="435">
        <v>2500</v>
      </c>
      <c r="AG29" s="436">
        <v>2500</v>
      </c>
      <c r="AH29" s="97">
        <v>830</v>
      </c>
      <c r="AI29" s="97">
        <v>2900</v>
      </c>
      <c r="AJ29" s="97">
        <v>6295</v>
      </c>
      <c r="AK29" s="97">
        <v>19050</v>
      </c>
      <c r="AL29" s="97">
        <v>22050</v>
      </c>
      <c r="AM29" s="437">
        <v>21580</v>
      </c>
      <c r="AN29" s="438">
        <v>76850</v>
      </c>
      <c r="AO29" s="438">
        <v>78687.5</v>
      </c>
      <c r="AP29" s="438">
        <v>0</v>
      </c>
      <c r="AQ29" s="439">
        <v>110250</v>
      </c>
      <c r="AR29" s="437">
        <v>287367.5</v>
      </c>
      <c r="AS29" s="438">
        <v>5250</v>
      </c>
      <c r="AT29" s="440">
        <v>547.36666666666667</v>
      </c>
      <c r="AU29" s="329">
        <f>IFERROR(Tabla1[[#This Row],[CAUDAL TOTAL TRATADO GEM ]]/Tabla1[[#This Row],[CAUDAL DE TRATAMIENTO]],0)</f>
        <v>7</v>
      </c>
    </row>
    <row r="30" spans="1:47" s="341" customFormat="1" ht="15" thickBot="1" x14ac:dyDescent="0.35">
      <c r="A30" s="563">
        <v>46063</v>
      </c>
      <c r="B30" s="338">
        <v>10</v>
      </c>
      <c r="C30" s="342" t="s">
        <v>275</v>
      </c>
      <c r="D30" s="343">
        <v>29</v>
      </c>
      <c r="E30" s="343" t="s">
        <v>77</v>
      </c>
      <c r="F30" s="441">
        <v>2580</v>
      </c>
      <c r="G30" s="442">
        <v>5580</v>
      </c>
      <c r="H30" s="442">
        <v>2180</v>
      </c>
      <c r="I30" s="442">
        <v>155</v>
      </c>
      <c r="J30" s="442">
        <v>95</v>
      </c>
      <c r="K30" s="453">
        <v>16972</v>
      </c>
      <c r="L30" s="450">
        <v>300</v>
      </c>
      <c r="M30" s="328">
        <v>75</v>
      </c>
      <c r="N30" s="426">
        <v>80</v>
      </c>
      <c r="O30" s="457">
        <v>170</v>
      </c>
      <c r="P30" s="426">
        <v>20</v>
      </c>
      <c r="Q30" s="426">
        <v>5</v>
      </c>
      <c r="R30" s="427">
        <v>5</v>
      </c>
      <c r="S30" s="432">
        <v>104</v>
      </c>
      <c r="T30" s="433">
        <v>225.25</v>
      </c>
      <c r="U30" s="433">
        <v>25</v>
      </c>
      <c r="V30" s="443">
        <v>5</v>
      </c>
      <c r="W30" s="427">
        <v>5</v>
      </c>
      <c r="X30" s="444">
        <v>346.66666666666669</v>
      </c>
      <c r="Y30" s="443">
        <v>750.83333333333337</v>
      </c>
      <c r="Z30" s="443">
        <v>83.333333333333329</v>
      </c>
      <c r="AA30" s="443">
        <v>16.666666666666668</v>
      </c>
      <c r="AB30" s="427">
        <v>16.666666666666668</v>
      </c>
      <c r="AC30" s="434">
        <v>1.3</v>
      </c>
      <c r="AD30" s="434">
        <v>1.325</v>
      </c>
      <c r="AE30" s="434">
        <v>1.25</v>
      </c>
      <c r="AF30" s="435">
        <v>2500</v>
      </c>
      <c r="AG30" s="436">
        <v>2500</v>
      </c>
      <c r="AH30" s="97">
        <v>830</v>
      </c>
      <c r="AI30" s="97">
        <v>2900</v>
      </c>
      <c r="AJ30" s="97">
        <v>6295</v>
      </c>
      <c r="AK30" s="97">
        <v>19050</v>
      </c>
      <c r="AL30" s="97">
        <v>22050</v>
      </c>
      <c r="AM30" s="445">
        <v>86320</v>
      </c>
      <c r="AN30" s="440">
        <v>653225</v>
      </c>
      <c r="AO30" s="440">
        <v>157375</v>
      </c>
      <c r="AP30" s="440">
        <v>95250</v>
      </c>
      <c r="AQ30" s="446">
        <v>110250</v>
      </c>
      <c r="AR30" s="445">
        <v>1102420</v>
      </c>
      <c r="AS30" s="440">
        <v>5250</v>
      </c>
      <c r="AT30" s="440">
        <v>3674.7333333333331</v>
      </c>
      <c r="AU30" s="328">
        <f>IFERROR(Tabla1[[#This Row],[CAUDAL TOTAL TRATADO GEM ]]/Tabla1[[#This Row],[CAUDAL DE TRATAMIENTO]],0)</f>
        <v>4</v>
      </c>
    </row>
    <row r="31" spans="1:47" s="341" customFormat="1" ht="15" thickBot="1" x14ac:dyDescent="0.35">
      <c r="A31" s="564">
        <v>46063</v>
      </c>
      <c r="B31" s="338">
        <v>10</v>
      </c>
      <c r="C31" s="344" t="s">
        <v>30</v>
      </c>
      <c r="D31" s="345">
        <v>30</v>
      </c>
      <c r="E31" s="345" t="s">
        <v>76</v>
      </c>
      <c r="F31" s="441">
        <v>2500</v>
      </c>
      <c r="G31" s="442">
        <v>5410</v>
      </c>
      <c r="H31" s="442">
        <v>2160</v>
      </c>
      <c r="I31" s="442">
        <v>150</v>
      </c>
      <c r="J31" s="442">
        <v>90</v>
      </c>
      <c r="K31" s="454">
        <v>16976</v>
      </c>
      <c r="L31" s="455">
        <v>600</v>
      </c>
      <c r="M31" s="330">
        <v>75</v>
      </c>
      <c r="N31" s="428">
        <v>170</v>
      </c>
      <c r="O31" s="458">
        <v>140</v>
      </c>
      <c r="P31" s="428">
        <v>50</v>
      </c>
      <c r="Q31" s="428">
        <v>0</v>
      </c>
      <c r="R31" s="429">
        <v>5</v>
      </c>
      <c r="S31" s="432">
        <v>221</v>
      </c>
      <c r="T31" s="433">
        <v>185.5</v>
      </c>
      <c r="U31" s="433">
        <v>62.5</v>
      </c>
      <c r="V31" s="447">
        <v>0</v>
      </c>
      <c r="W31" s="429">
        <v>5</v>
      </c>
      <c r="X31" s="444">
        <v>368.33333333333331</v>
      </c>
      <c r="Y31" s="447">
        <v>309.16666666666669</v>
      </c>
      <c r="Z31" s="447">
        <v>104.16666666666667</v>
      </c>
      <c r="AA31" s="447">
        <v>0</v>
      </c>
      <c r="AB31" s="429">
        <v>8.3333333333333339</v>
      </c>
      <c r="AC31" s="434">
        <v>1.3</v>
      </c>
      <c r="AD31" s="434">
        <v>1.325</v>
      </c>
      <c r="AE31" s="434">
        <v>1.25</v>
      </c>
      <c r="AF31" s="435">
        <v>2500</v>
      </c>
      <c r="AG31" s="436">
        <v>2500</v>
      </c>
      <c r="AH31" s="97">
        <v>830</v>
      </c>
      <c r="AI31" s="97">
        <v>2900</v>
      </c>
      <c r="AJ31" s="97">
        <v>6295</v>
      </c>
      <c r="AK31" s="97">
        <v>19050</v>
      </c>
      <c r="AL31" s="97">
        <v>22050</v>
      </c>
      <c r="AM31" s="445">
        <v>183430</v>
      </c>
      <c r="AN31" s="448">
        <v>537950</v>
      </c>
      <c r="AO31" s="448">
        <v>393437.5</v>
      </c>
      <c r="AP31" s="448">
        <v>0</v>
      </c>
      <c r="AQ31" s="449">
        <v>110250</v>
      </c>
      <c r="AR31" s="445">
        <v>1225067.5</v>
      </c>
      <c r="AS31" s="448">
        <v>5250</v>
      </c>
      <c r="AT31" s="440">
        <v>2041.7791666666667</v>
      </c>
      <c r="AU31" s="330">
        <f>IFERROR(Tabla1[[#This Row],[CAUDAL TOTAL TRATADO GEM ]]/Tabla1[[#This Row],[CAUDAL DE TRATAMIENTO]],0)</f>
        <v>8</v>
      </c>
    </row>
    <row r="32" spans="1:47" s="341" customFormat="1" ht="15" thickBot="1" x14ac:dyDescent="0.35">
      <c r="A32" s="143">
        <v>46064</v>
      </c>
      <c r="B32" s="338">
        <v>11</v>
      </c>
      <c r="C32" s="339" t="s">
        <v>276</v>
      </c>
      <c r="D32" s="340">
        <v>31</v>
      </c>
      <c r="E32" s="340" t="s">
        <v>75</v>
      </c>
      <c r="F32" s="430">
        <v>2330</v>
      </c>
      <c r="G32" s="431">
        <v>5270</v>
      </c>
      <c r="H32" s="431">
        <v>2110</v>
      </c>
      <c r="I32" s="431">
        <v>150</v>
      </c>
      <c r="J32" s="431">
        <v>85</v>
      </c>
      <c r="K32" s="451">
        <v>16984</v>
      </c>
      <c r="L32" s="452">
        <v>225</v>
      </c>
      <c r="M32" s="329">
        <v>75</v>
      </c>
      <c r="N32" s="424">
        <v>130</v>
      </c>
      <c r="O32" s="456">
        <v>90</v>
      </c>
      <c r="P32" s="424">
        <v>10</v>
      </c>
      <c r="Q32" s="424">
        <v>5</v>
      </c>
      <c r="R32" s="425">
        <v>5</v>
      </c>
      <c r="S32" s="432">
        <v>169</v>
      </c>
      <c r="T32" s="433">
        <v>119.25</v>
      </c>
      <c r="U32" s="433">
        <v>12.5</v>
      </c>
      <c r="V32" s="433">
        <v>5</v>
      </c>
      <c r="W32" s="425">
        <v>5</v>
      </c>
      <c r="X32" s="432">
        <v>751.11111111111109</v>
      </c>
      <c r="Y32" s="433">
        <v>530</v>
      </c>
      <c r="Z32" s="433">
        <v>55.555555555555557</v>
      </c>
      <c r="AA32" s="433">
        <v>22.222222222222221</v>
      </c>
      <c r="AB32" s="425">
        <v>22.222222222222221</v>
      </c>
      <c r="AC32" s="434">
        <v>1.3</v>
      </c>
      <c r="AD32" s="434">
        <v>1.325</v>
      </c>
      <c r="AE32" s="434">
        <v>1.25</v>
      </c>
      <c r="AF32" s="435">
        <v>2500</v>
      </c>
      <c r="AG32" s="436">
        <v>2500</v>
      </c>
      <c r="AH32" s="97">
        <v>830</v>
      </c>
      <c r="AI32" s="97">
        <v>2900</v>
      </c>
      <c r="AJ32" s="97">
        <v>6295</v>
      </c>
      <c r="AK32" s="97">
        <v>19050</v>
      </c>
      <c r="AL32" s="97">
        <v>22050</v>
      </c>
      <c r="AM32" s="437">
        <v>140270</v>
      </c>
      <c r="AN32" s="438">
        <v>345825</v>
      </c>
      <c r="AO32" s="438">
        <v>78687.5</v>
      </c>
      <c r="AP32" s="438">
        <v>95250</v>
      </c>
      <c r="AQ32" s="439">
        <v>110250</v>
      </c>
      <c r="AR32" s="437">
        <v>770282.5</v>
      </c>
      <c r="AS32" s="438">
        <v>5250</v>
      </c>
      <c r="AT32" s="440">
        <v>3423.4777777777776</v>
      </c>
      <c r="AU32" s="329">
        <f>IFERROR(Tabla1[[#This Row],[CAUDAL TOTAL TRATADO GEM ]]/Tabla1[[#This Row],[CAUDAL DE TRATAMIENTO]],0)</f>
        <v>3</v>
      </c>
    </row>
    <row r="33" spans="1:47" s="341" customFormat="1" ht="15" thickBot="1" x14ac:dyDescent="0.35">
      <c r="A33" s="563">
        <v>46064</v>
      </c>
      <c r="B33" s="338">
        <v>11</v>
      </c>
      <c r="C33" s="342" t="s">
        <v>277</v>
      </c>
      <c r="D33" s="343">
        <v>32</v>
      </c>
      <c r="E33" s="343" t="s">
        <v>77</v>
      </c>
      <c r="F33" s="441">
        <v>2200</v>
      </c>
      <c r="G33" s="442">
        <v>5180</v>
      </c>
      <c r="H33" s="442">
        <v>2100</v>
      </c>
      <c r="I33" s="442">
        <v>145</v>
      </c>
      <c r="J33" s="442">
        <v>80</v>
      </c>
      <c r="K33" s="453">
        <v>16987</v>
      </c>
      <c r="L33" s="450">
        <v>450</v>
      </c>
      <c r="M33" s="328">
        <v>75</v>
      </c>
      <c r="N33" s="426">
        <v>100</v>
      </c>
      <c r="O33" s="462">
        <v>120</v>
      </c>
      <c r="P33" s="426">
        <v>30</v>
      </c>
      <c r="Q33" s="426">
        <v>5</v>
      </c>
      <c r="R33" s="427">
        <v>5</v>
      </c>
      <c r="S33" s="432">
        <v>130</v>
      </c>
      <c r="T33" s="433">
        <v>159</v>
      </c>
      <c r="U33" s="433">
        <v>37.5</v>
      </c>
      <c r="V33" s="443">
        <v>5</v>
      </c>
      <c r="W33" s="427">
        <v>5</v>
      </c>
      <c r="X33" s="444">
        <v>288.88888888888891</v>
      </c>
      <c r="Y33" s="443">
        <v>353.33333333333331</v>
      </c>
      <c r="Z33" s="443">
        <v>83.333333333333329</v>
      </c>
      <c r="AA33" s="443">
        <v>11.111111111111111</v>
      </c>
      <c r="AB33" s="427">
        <v>11.111111111111111</v>
      </c>
      <c r="AC33" s="434">
        <v>1.3</v>
      </c>
      <c r="AD33" s="434">
        <v>1.325</v>
      </c>
      <c r="AE33" s="434">
        <v>1.25</v>
      </c>
      <c r="AF33" s="435">
        <v>2500</v>
      </c>
      <c r="AG33" s="436">
        <v>2500</v>
      </c>
      <c r="AH33" s="97">
        <v>830</v>
      </c>
      <c r="AI33" s="97">
        <v>2900</v>
      </c>
      <c r="AJ33" s="97">
        <v>6295</v>
      </c>
      <c r="AK33" s="97">
        <v>19050</v>
      </c>
      <c r="AL33" s="97">
        <v>22050</v>
      </c>
      <c r="AM33" s="445">
        <v>107900</v>
      </c>
      <c r="AN33" s="440">
        <v>461100</v>
      </c>
      <c r="AO33" s="440">
        <v>236062.5</v>
      </c>
      <c r="AP33" s="440">
        <v>95250</v>
      </c>
      <c r="AQ33" s="446">
        <v>110250</v>
      </c>
      <c r="AR33" s="445">
        <v>1010562.5</v>
      </c>
      <c r="AS33" s="440">
        <v>5250</v>
      </c>
      <c r="AT33" s="440">
        <v>2245.6944444444443</v>
      </c>
      <c r="AU33" s="328">
        <f>IFERROR(Tabla1[[#This Row],[CAUDAL TOTAL TRATADO GEM ]]/Tabla1[[#This Row],[CAUDAL DE TRATAMIENTO]],0)</f>
        <v>6</v>
      </c>
    </row>
    <row r="34" spans="1:47" s="341" customFormat="1" ht="15" thickBot="1" x14ac:dyDescent="0.35">
      <c r="A34" s="564">
        <v>46064</v>
      </c>
      <c r="B34" s="338">
        <v>11</v>
      </c>
      <c r="C34" s="344" t="s">
        <v>30</v>
      </c>
      <c r="D34" s="345">
        <v>33</v>
      </c>
      <c r="E34" s="345" t="s">
        <v>76</v>
      </c>
      <c r="F34" s="441">
        <v>2100</v>
      </c>
      <c r="G34" s="442">
        <v>4910</v>
      </c>
      <c r="H34" s="442">
        <v>2070</v>
      </c>
      <c r="I34" s="442">
        <v>140</v>
      </c>
      <c r="J34" s="442">
        <v>75</v>
      </c>
      <c r="K34" s="454">
        <v>16993</v>
      </c>
      <c r="L34" s="455">
        <v>600</v>
      </c>
      <c r="M34" s="330">
        <v>75</v>
      </c>
      <c r="N34" s="428">
        <v>70</v>
      </c>
      <c r="O34" s="458">
        <v>110</v>
      </c>
      <c r="P34" s="428">
        <v>70</v>
      </c>
      <c r="Q34" s="428">
        <v>0</v>
      </c>
      <c r="R34" s="429">
        <v>5</v>
      </c>
      <c r="S34" s="432">
        <v>91</v>
      </c>
      <c r="T34" s="433">
        <v>145.75</v>
      </c>
      <c r="U34" s="433">
        <v>87.5</v>
      </c>
      <c r="V34" s="447">
        <v>0</v>
      </c>
      <c r="W34" s="429">
        <v>5</v>
      </c>
      <c r="X34" s="444">
        <v>151.66666666666666</v>
      </c>
      <c r="Y34" s="447">
        <v>242.91666666666666</v>
      </c>
      <c r="Z34" s="447">
        <v>145.83333333333334</v>
      </c>
      <c r="AA34" s="447">
        <v>0</v>
      </c>
      <c r="AB34" s="429">
        <v>8.3333333333333339</v>
      </c>
      <c r="AC34" s="434">
        <v>1.3</v>
      </c>
      <c r="AD34" s="434">
        <v>1.325</v>
      </c>
      <c r="AE34" s="434">
        <v>1.25</v>
      </c>
      <c r="AF34" s="435">
        <v>2500</v>
      </c>
      <c r="AG34" s="436">
        <v>2500</v>
      </c>
      <c r="AH34" s="97">
        <v>830</v>
      </c>
      <c r="AI34" s="97">
        <v>2900</v>
      </c>
      <c r="AJ34" s="97">
        <v>6295</v>
      </c>
      <c r="AK34" s="97">
        <v>19050</v>
      </c>
      <c r="AL34" s="97">
        <v>22050</v>
      </c>
      <c r="AM34" s="445">
        <v>75530</v>
      </c>
      <c r="AN34" s="448">
        <v>422675</v>
      </c>
      <c r="AO34" s="448">
        <v>550812.5</v>
      </c>
      <c r="AP34" s="448">
        <v>0</v>
      </c>
      <c r="AQ34" s="449">
        <v>110250</v>
      </c>
      <c r="AR34" s="445">
        <v>1159267.5</v>
      </c>
      <c r="AS34" s="448">
        <v>5250</v>
      </c>
      <c r="AT34" s="440">
        <v>1932.1125</v>
      </c>
      <c r="AU34" s="330">
        <f>IFERROR(Tabla1[[#This Row],[CAUDAL TOTAL TRATADO GEM ]]/Tabla1[[#This Row],[CAUDAL DE TRATAMIENTO]],0)</f>
        <v>8</v>
      </c>
    </row>
    <row r="35" spans="1:47" s="341" customFormat="1" ht="15" thickBot="1" x14ac:dyDescent="0.35">
      <c r="A35" s="143">
        <v>46065</v>
      </c>
      <c r="B35" s="338">
        <v>12</v>
      </c>
      <c r="C35" s="339" t="s">
        <v>278</v>
      </c>
      <c r="D35" s="340">
        <v>34</v>
      </c>
      <c r="E35" s="340" t="s">
        <v>75</v>
      </c>
      <c r="F35" s="430">
        <v>2030</v>
      </c>
      <c r="G35" s="431">
        <v>4800</v>
      </c>
      <c r="H35" s="431">
        <v>2000</v>
      </c>
      <c r="I35" s="431">
        <v>140</v>
      </c>
      <c r="J35" s="431">
        <v>70</v>
      </c>
      <c r="K35" s="451">
        <v>17001</v>
      </c>
      <c r="L35" s="452">
        <v>375</v>
      </c>
      <c r="M35" s="329">
        <v>75</v>
      </c>
      <c r="N35" s="424">
        <v>100</v>
      </c>
      <c r="O35" s="456">
        <v>120</v>
      </c>
      <c r="P35" s="424">
        <v>0</v>
      </c>
      <c r="Q35" s="424">
        <v>5</v>
      </c>
      <c r="R35" s="425">
        <v>5</v>
      </c>
      <c r="S35" s="432">
        <v>130</v>
      </c>
      <c r="T35" s="433">
        <v>159</v>
      </c>
      <c r="U35" s="433">
        <v>0</v>
      </c>
      <c r="V35" s="433">
        <v>5</v>
      </c>
      <c r="W35" s="425">
        <v>5</v>
      </c>
      <c r="X35" s="432">
        <v>346.66666666666669</v>
      </c>
      <c r="Y35" s="433">
        <v>424</v>
      </c>
      <c r="Z35" s="433">
        <v>0</v>
      </c>
      <c r="AA35" s="433">
        <v>13.333333333333334</v>
      </c>
      <c r="AB35" s="425">
        <v>13.333333333333334</v>
      </c>
      <c r="AC35" s="434">
        <v>1.3</v>
      </c>
      <c r="AD35" s="434">
        <v>1.325</v>
      </c>
      <c r="AE35" s="434">
        <v>1.25</v>
      </c>
      <c r="AF35" s="435">
        <v>2500</v>
      </c>
      <c r="AG35" s="436">
        <v>2500</v>
      </c>
      <c r="AH35" s="97">
        <v>830</v>
      </c>
      <c r="AI35" s="97">
        <v>2900</v>
      </c>
      <c r="AJ35" s="97">
        <v>6295</v>
      </c>
      <c r="AK35" s="97">
        <v>19050</v>
      </c>
      <c r="AL35" s="97">
        <v>22050</v>
      </c>
      <c r="AM35" s="437">
        <v>107900</v>
      </c>
      <c r="AN35" s="438">
        <v>461100</v>
      </c>
      <c r="AO35" s="438">
        <v>0</v>
      </c>
      <c r="AP35" s="438">
        <v>95250</v>
      </c>
      <c r="AQ35" s="439">
        <v>110250</v>
      </c>
      <c r="AR35" s="437">
        <v>774500</v>
      </c>
      <c r="AS35" s="438">
        <v>5250</v>
      </c>
      <c r="AT35" s="440">
        <v>2065.3333333333335</v>
      </c>
      <c r="AU35" s="329">
        <f>IFERROR(Tabla1[[#This Row],[CAUDAL TOTAL TRATADO GEM ]]/Tabla1[[#This Row],[CAUDAL DE TRATAMIENTO]],0)</f>
        <v>5</v>
      </c>
    </row>
    <row r="36" spans="1:47" s="341" customFormat="1" ht="15" thickBot="1" x14ac:dyDescent="0.35">
      <c r="A36" s="563">
        <v>46065</v>
      </c>
      <c r="B36" s="338">
        <v>12</v>
      </c>
      <c r="C36" s="342" t="s">
        <v>279</v>
      </c>
      <c r="D36" s="343">
        <v>35</v>
      </c>
      <c r="E36" s="343" t="s">
        <v>77</v>
      </c>
      <c r="F36" s="441">
        <v>1930</v>
      </c>
      <c r="G36" s="442">
        <v>4680</v>
      </c>
      <c r="H36" s="442">
        <v>2000</v>
      </c>
      <c r="I36" s="442">
        <v>135</v>
      </c>
      <c r="J36" s="442">
        <v>65</v>
      </c>
      <c r="K36" s="453">
        <v>17006</v>
      </c>
      <c r="L36" s="450">
        <v>225</v>
      </c>
      <c r="M36" s="328">
        <v>75</v>
      </c>
      <c r="N36" s="426">
        <v>130</v>
      </c>
      <c r="O36" s="457">
        <v>170</v>
      </c>
      <c r="P36" s="426">
        <v>30</v>
      </c>
      <c r="Q36" s="426">
        <v>0</v>
      </c>
      <c r="R36" s="427">
        <v>5</v>
      </c>
      <c r="S36" s="432">
        <v>169</v>
      </c>
      <c r="T36" s="433">
        <v>225.25</v>
      </c>
      <c r="U36" s="433">
        <v>37.5</v>
      </c>
      <c r="V36" s="443">
        <v>0</v>
      </c>
      <c r="W36" s="427">
        <v>5</v>
      </c>
      <c r="X36" s="444">
        <v>751.11111111111109</v>
      </c>
      <c r="Y36" s="443">
        <v>1001.1111111111111</v>
      </c>
      <c r="Z36" s="443">
        <v>166.66666666666666</v>
      </c>
      <c r="AA36" s="443">
        <v>0</v>
      </c>
      <c r="AB36" s="427">
        <v>22.222222222222221</v>
      </c>
      <c r="AC36" s="434">
        <v>1.3</v>
      </c>
      <c r="AD36" s="434">
        <v>1.325</v>
      </c>
      <c r="AE36" s="434">
        <v>1.25</v>
      </c>
      <c r="AF36" s="435">
        <v>2500</v>
      </c>
      <c r="AG36" s="436">
        <v>2500</v>
      </c>
      <c r="AH36" s="97">
        <v>830</v>
      </c>
      <c r="AI36" s="97">
        <v>2900</v>
      </c>
      <c r="AJ36" s="97">
        <v>6295</v>
      </c>
      <c r="AK36" s="97">
        <v>19050</v>
      </c>
      <c r="AL36" s="97">
        <v>22050</v>
      </c>
      <c r="AM36" s="445">
        <v>140270</v>
      </c>
      <c r="AN36" s="440">
        <v>653225</v>
      </c>
      <c r="AO36" s="440">
        <v>236062.5</v>
      </c>
      <c r="AP36" s="440">
        <v>0</v>
      </c>
      <c r="AQ36" s="446">
        <v>110250</v>
      </c>
      <c r="AR36" s="445">
        <v>1139807.5</v>
      </c>
      <c r="AS36" s="440">
        <v>5250</v>
      </c>
      <c r="AT36" s="440">
        <v>5065.8111111111111</v>
      </c>
      <c r="AU36" s="328">
        <f>IFERROR(Tabla1[[#This Row],[CAUDAL TOTAL TRATADO GEM ]]/Tabla1[[#This Row],[CAUDAL DE TRATAMIENTO]],0)</f>
        <v>3</v>
      </c>
    </row>
    <row r="37" spans="1:47" s="341" customFormat="1" ht="15" thickBot="1" x14ac:dyDescent="0.35">
      <c r="A37" s="564">
        <v>46065</v>
      </c>
      <c r="B37" s="338">
        <v>12</v>
      </c>
      <c r="C37" s="344" t="s">
        <v>30</v>
      </c>
      <c r="D37" s="345">
        <v>36</v>
      </c>
      <c r="E37" s="345" t="s">
        <v>76</v>
      </c>
      <c r="F37" s="441">
        <v>1800</v>
      </c>
      <c r="G37" s="442">
        <v>4510</v>
      </c>
      <c r="H37" s="442">
        <v>1970</v>
      </c>
      <c r="I37" s="442">
        <v>135</v>
      </c>
      <c r="J37" s="442">
        <v>60</v>
      </c>
      <c r="K37" s="454">
        <v>17009</v>
      </c>
      <c r="L37" s="455">
        <v>600</v>
      </c>
      <c r="M37" s="330">
        <v>75</v>
      </c>
      <c r="N37" s="428">
        <v>100</v>
      </c>
      <c r="O37" s="458">
        <v>110</v>
      </c>
      <c r="P37" s="428">
        <v>20</v>
      </c>
      <c r="Q37" s="428">
        <v>5</v>
      </c>
      <c r="R37" s="429">
        <v>5</v>
      </c>
      <c r="S37" s="432">
        <v>130</v>
      </c>
      <c r="T37" s="433">
        <v>145.75</v>
      </c>
      <c r="U37" s="433">
        <v>25</v>
      </c>
      <c r="V37" s="447">
        <v>5</v>
      </c>
      <c r="W37" s="429">
        <v>5</v>
      </c>
      <c r="X37" s="444">
        <v>216.66666666666666</v>
      </c>
      <c r="Y37" s="447">
        <v>242.91666666666666</v>
      </c>
      <c r="Z37" s="447">
        <v>41.666666666666664</v>
      </c>
      <c r="AA37" s="447">
        <v>8.3333333333333339</v>
      </c>
      <c r="AB37" s="429">
        <v>8.3333333333333339</v>
      </c>
      <c r="AC37" s="434">
        <v>1.3</v>
      </c>
      <c r="AD37" s="434">
        <v>1.325</v>
      </c>
      <c r="AE37" s="434">
        <v>1.25</v>
      </c>
      <c r="AF37" s="435">
        <v>2500</v>
      </c>
      <c r="AG37" s="436">
        <v>2500</v>
      </c>
      <c r="AH37" s="97">
        <v>830</v>
      </c>
      <c r="AI37" s="97">
        <v>2900</v>
      </c>
      <c r="AJ37" s="97">
        <v>6295</v>
      </c>
      <c r="AK37" s="97">
        <v>19050</v>
      </c>
      <c r="AL37" s="97">
        <v>22050</v>
      </c>
      <c r="AM37" s="445">
        <v>107900</v>
      </c>
      <c r="AN37" s="448">
        <v>422675</v>
      </c>
      <c r="AO37" s="448">
        <v>157375</v>
      </c>
      <c r="AP37" s="448">
        <v>95250</v>
      </c>
      <c r="AQ37" s="449">
        <v>110250</v>
      </c>
      <c r="AR37" s="445">
        <v>893450</v>
      </c>
      <c r="AS37" s="448">
        <v>5250</v>
      </c>
      <c r="AT37" s="440">
        <v>1489.0833333333333</v>
      </c>
      <c r="AU37" s="330">
        <f>IFERROR(Tabla1[[#This Row],[CAUDAL TOTAL TRATADO GEM ]]/Tabla1[[#This Row],[CAUDAL DE TRATAMIENTO]],0)</f>
        <v>8</v>
      </c>
    </row>
    <row r="38" spans="1:47" ht="15" thickBot="1" x14ac:dyDescent="0.35">
      <c r="A38" s="143">
        <v>46066</v>
      </c>
      <c r="B38" s="96">
        <v>13</v>
      </c>
      <c r="C38" s="320" t="s">
        <v>280</v>
      </c>
      <c r="D38" s="321">
        <v>37</v>
      </c>
      <c r="E38" s="321" t="s">
        <v>75</v>
      </c>
      <c r="F38" s="430">
        <v>1700</v>
      </c>
      <c r="G38" s="431">
        <v>4400</v>
      </c>
      <c r="H38" s="431">
        <v>1950</v>
      </c>
      <c r="I38" s="431">
        <v>130</v>
      </c>
      <c r="J38" s="431">
        <v>55</v>
      </c>
      <c r="K38" s="451">
        <v>17017</v>
      </c>
      <c r="L38" s="452">
        <v>375</v>
      </c>
      <c r="M38" s="329">
        <v>75</v>
      </c>
      <c r="N38" s="424">
        <v>100</v>
      </c>
      <c r="O38" s="456">
        <v>200</v>
      </c>
      <c r="P38" s="424">
        <v>40</v>
      </c>
      <c r="Q38" s="424">
        <v>0</v>
      </c>
      <c r="R38" s="425">
        <v>5</v>
      </c>
      <c r="S38" s="432">
        <v>130</v>
      </c>
      <c r="T38" s="433">
        <v>265</v>
      </c>
      <c r="U38" s="433">
        <v>50</v>
      </c>
      <c r="V38" s="433">
        <v>0</v>
      </c>
      <c r="W38" s="425">
        <v>5</v>
      </c>
      <c r="X38" s="432">
        <v>346.66666666666669</v>
      </c>
      <c r="Y38" s="433">
        <v>706.66666666666663</v>
      </c>
      <c r="Z38" s="433">
        <v>133.33333333333334</v>
      </c>
      <c r="AA38" s="433">
        <v>0</v>
      </c>
      <c r="AB38" s="425">
        <v>13.333333333333334</v>
      </c>
      <c r="AC38" s="434">
        <v>1.3</v>
      </c>
      <c r="AD38" s="434">
        <v>1.325</v>
      </c>
      <c r="AE38" s="434">
        <v>1.25</v>
      </c>
      <c r="AF38" s="435">
        <v>2500</v>
      </c>
      <c r="AG38" s="436">
        <v>2500</v>
      </c>
      <c r="AH38" s="97">
        <v>830</v>
      </c>
      <c r="AI38" s="97">
        <v>2900</v>
      </c>
      <c r="AJ38" s="97">
        <v>6295</v>
      </c>
      <c r="AK38" s="97">
        <v>19050</v>
      </c>
      <c r="AL38" s="97">
        <v>22050</v>
      </c>
      <c r="AM38" s="437">
        <v>107900</v>
      </c>
      <c r="AN38" s="438">
        <v>768500</v>
      </c>
      <c r="AO38" s="438">
        <v>314750</v>
      </c>
      <c r="AP38" s="438">
        <v>0</v>
      </c>
      <c r="AQ38" s="439">
        <v>110250</v>
      </c>
      <c r="AR38" s="437">
        <v>1301400</v>
      </c>
      <c r="AS38" s="438">
        <v>5250</v>
      </c>
      <c r="AT38" s="440">
        <v>3470.4</v>
      </c>
      <c r="AU38" s="329">
        <f>IFERROR(Tabla1[[#This Row],[CAUDAL TOTAL TRATADO GEM ]]/Tabla1[[#This Row],[CAUDAL DE TRATAMIENTO]],0)</f>
        <v>5</v>
      </c>
    </row>
    <row r="39" spans="1:47" ht="15" thickBot="1" x14ac:dyDescent="0.35">
      <c r="A39" s="563">
        <v>46066</v>
      </c>
      <c r="B39" s="96">
        <v>13</v>
      </c>
      <c r="C39" s="322" t="s">
        <v>281</v>
      </c>
      <c r="D39" s="323">
        <v>38</v>
      </c>
      <c r="E39" s="323" t="s">
        <v>77</v>
      </c>
      <c r="F39" s="441">
        <v>1600</v>
      </c>
      <c r="G39" s="442">
        <v>4200</v>
      </c>
      <c r="H39" s="442">
        <v>1910</v>
      </c>
      <c r="I39" s="442">
        <v>130</v>
      </c>
      <c r="J39" s="442">
        <v>50</v>
      </c>
      <c r="K39" s="453">
        <v>17022</v>
      </c>
      <c r="L39" s="450">
        <v>450</v>
      </c>
      <c r="M39" s="328">
        <v>75</v>
      </c>
      <c r="N39" s="426">
        <v>110</v>
      </c>
      <c r="O39" s="457">
        <v>230</v>
      </c>
      <c r="P39" s="426">
        <v>60</v>
      </c>
      <c r="Q39" s="426">
        <v>5</v>
      </c>
      <c r="R39" s="427">
        <v>5</v>
      </c>
      <c r="S39" s="432">
        <v>143</v>
      </c>
      <c r="T39" s="433">
        <v>304.75</v>
      </c>
      <c r="U39" s="433">
        <v>75</v>
      </c>
      <c r="V39" s="443">
        <v>5</v>
      </c>
      <c r="W39" s="427">
        <v>5</v>
      </c>
      <c r="X39" s="444">
        <v>317.77777777777777</v>
      </c>
      <c r="Y39" s="443">
        <v>677.22222222222217</v>
      </c>
      <c r="Z39" s="443">
        <v>166.66666666666666</v>
      </c>
      <c r="AA39" s="443">
        <v>11.111111111111111</v>
      </c>
      <c r="AB39" s="427">
        <v>11.111111111111111</v>
      </c>
      <c r="AC39" s="434">
        <v>1.3</v>
      </c>
      <c r="AD39" s="434">
        <v>1.325</v>
      </c>
      <c r="AE39" s="434">
        <v>1.25</v>
      </c>
      <c r="AF39" s="435">
        <v>2500</v>
      </c>
      <c r="AG39" s="436">
        <v>2500</v>
      </c>
      <c r="AH39" s="97">
        <v>830</v>
      </c>
      <c r="AI39" s="97">
        <v>2900</v>
      </c>
      <c r="AJ39" s="97">
        <v>6295</v>
      </c>
      <c r="AK39" s="97">
        <v>19050</v>
      </c>
      <c r="AL39" s="97">
        <v>22050</v>
      </c>
      <c r="AM39" s="445">
        <v>118690</v>
      </c>
      <c r="AN39" s="440">
        <v>883775</v>
      </c>
      <c r="AO39" s="440">
        <v>472125</v>
      </c>
      <c r="AP39" s="440">
        <v>95250</v>
      </c>
      <c r="AQ39" s="446">
        <v>110250</v>
      </c>
      <c r="AR39" s="445">
        <v>1680090</v>
      </c>
      <c r="AS39" s="440">
        <v>5250</v>
      </c>
      <c r="AT39" s="440">
        <v>3733.5333333333333</v>
      </c>
      <c r="AU39" s="328">
        <f>IFERROR(Tabla1[[#This Row],[CAUDAL TOTAL TRATADO GEM ]]/Tabla1[[#This Row],[CAUDAL DE TRATAMIENTO]],0)</f>
        <v>6</v>
      </c>
    </row>
    <row r="40" spans="1:47" ht="15" thickBot="1" x14ac:dyDescent="0.35">
      <c r="A40" s="564">
        <v>46066</v>
      </c>
      <c r="B40" s="96">
        <v>13</v>
      </c>
      <c r="C40" s="324" t="s">
        <v>30</v>
      </c>
      <c r="D40" s="325">
        <v>39</v>
      </c>
      <c r="E40" s="325" t="s">
        <v>76</v>
      </c>
      <c r="F40" s="441">
        <v>1490</v>
      </c>
      <c r="G40" s="442">
        <v>3970</v>
      </c>
      <c r="H40" s="442">
        <v>1850</v>
      </c>
      <c r="I40" s="442">
        <v>125</v>
      </c>
      <c r="J40" s="442">
        <v>45</v>
      </c>
      <c r="K40" s="454">
        <v>17028</v>
      </c>
      <c r="L40" s="455">
        <v>300</v>
      </c>
      <c r="M40" s="330">
        <v>75</v>
      </c>
      <c r="N40" s="428">
        <v>100</v>
      </c>
      <c r="O40" s="458">
        <v>70</v>
      </c>
      <c r="P40" s="428">
        <v>50</v>
      </c>
      <c r="Q40" s="428">
        <v>0</v>
      </c>
      <c r="R40" s="429">
        <v>5</v>
      </c>
      <c r="S40" s="432">
        <v>130</v>
      </c>
      <c r="T40" s="433">
        <v>92.75</v>
      </c>
      <c r="U40" s="433">
        <v>62.5</v>
      </c>
      <c r="V40" s="447">
        <v>0</v>
      </c>
      <c r="W40" s="429">
        <v>5</v>
      </c>
      <c r="X40" s="444">
        <v>433.33333333333331</v>
      </c>
      <c r="Y40" s="447">
        <v>309.16666666666669</v>
      </c>
      <c r="Z40" s="447">
        <v>208.33333333333334</v>
      </c>
      <c r="AA40" s="447">
        <v>0</v>
      </c>
      <c r="AB40" s="429">
        <v>16.666666666666668</v>
      </c>
      <c r="AC40" s="434">
        <v>1.3</v>
      </c>
      <c r="AD40" s="434">
        <v>1.325</v>
      </c>
      <c r="AE40" s="434">
        <v>1.25</v>
      </c>
      <c r="AF40" s="435">
        <v>2500</v>
      </c>
      <c r="AG40" s="436">
        <v>2500</v>
      </c>
      <c r="AH40" s="97">
        <v>830</v>
      </c>
      <c r="AI40" s="97">
        <v>2900</v>
      </c>
      <c r="AJ40" s="97">
        <v>6295</v>
      </c>
      <c r="AK40" s="97">
        <v>19050</v>
      </c>
      <c r="AL40" s="97">
        <v>22050</v>
      </c>
      <c r="AM40" s="445">
        <v>107900</v>
      </c>
      <c r="AN40" s="448">
        <v>268975</v>
      </c>
      <c r="AO40" s="448">
        <v>393437.5</v>
      </c>
      <c r="AP40" s="448">
        <v>0</v>
      </c>
      <c r="AQ40" s="449">
        <v>110250</v>
      </c>
      <c r="AR40" s="445">
        <v>880562.5</v>
      </c>
      <c r="AS40" s="448">
        <v>5250</v>
      </c>
      <c r="AT40" s="440">
        <v>2935.2083333333335</v>
      </c>
      <c r="AU40" s="330">
        <f>IFERROR(Tabla1[[#This Row],[CAUDAL TOTAL TRATADO GEM ]]/Tabla1[[#This Row],[CAUDAL DE TRATAMIENTO]],0)</f>
        <v>4</v>
      </c>
    </row>
    <row r="41" spans="1:47" ht="15" thickBot="1" x14ac:dyDescent="0.35">
      <c r="A41" s="143">
        <v>46067</v>
      </c>
      <c r="B41" s="96">
        <v>14</v>
      </c>
      <c r="C41" s="320" t="s">
        <v>282</v>
      </c>
      <c r="D41" s="321">
        <v>40</v>
      </c>
      <c r="E41" s="321" t="s">
        <v>75</v>
      </c>
      <c r="F41" s="430">
        <v>1390</v>
      </c>
      <c r="G41" s="431">
        <v>3900</v>
      </c>
      <c r="H41" s="431">
        <v>1800</v>
      </c>
      <c r="I41" s="431">
        <v>125</v>
      </c>
      <c r="J41" s="431">
        <v>40</v>
      </c>
      <c r="K41" s="451">
        <v>17032</v>
      </c>
      <c r="L41" s="452">
        <v>525</v>
      </c>
      <c r="M41" s="329">
        <v>75</v>
      </c>
      <c r="N41" s="424">
        <v>40</v>
      </c>
      <c r="O41" s="456">
        <v>300</v>
      </c>
      <c r="P41" s="424">
        <v>0</v>
      </c>
      <c r="Q41" s="424">
        <v>5</v>
      </c>
      <c r="R41" s="425">
        <v>5</v>
      </c>
      <c r="S41" s="432">
        <v>52</v>
      </c>
      <c r="T41" s="433">
        <v>397.5</v>
      </c>
      <c r="U41" s="433">
        <v>0</v>
      </c>
      <c r="V41" s="433">
        <v>5</v>
      </c>
      <c r="W41" s="425">
        <v>5</v>
      </c>
      <c r="X41" s="432">
        <v>99.047619047619051</v>
      </c>
      <c r="Y41" s="433">
        <v>757.14285714285711</v>
      </c>
      <c r="Z41" s="433">
        <v>0</v>
      </c>
      <c r="AA41" s="433">
        <v>9.5238095238095237</v>
      </c>
      <c r="AB41" s="425">
        <v>9.5238095238095237</v>
      </c>
      <c r="AC41" s="434">
        <v>1.3</v>
      </c>
      <c r="AD41" s="434">
        <v>1.325</v>
      </c>
      <c r="AE41" s="434">
        <v>1.25</v>
      </c>
      <c r="AF41" s="435">
        <v>2500</v>
      </c>
      <c r="AG41" s="436">
        <v>2500</v>
      </c>
      <c r="AH41" s="97">
        <v>830</v>
      </c>
      <c r="AI41" s="97">
        <v>2900</v>
      </c>
      <c r="AJ41" s="97">
        <v>6295</v>
      </c>
      <c r="AK41" s="97">
        <v>19050</v>
      </c>
      <c r="AL41" s="97">
        <v>22050</v>
      </c>
      <c r="AM41" s="437">
        <v>43160</v>
      </c>
      <c r="AN41" s="438">
        <v>1152750</v>
      </c>
      <c r="AO41" s="438">
        <v>0</v>
      </c>
      <c r="AP41" s="438">
        <v>95250</v>
      </c>
      <c r="AQ41" s="439">
        <v>110250</v>
      </c>
      <c r="AR41" s="437">
        <v>1401410</v>
      </c>
      <c r="AS41" s="438">
        <v>5250</v>
      </c>
      <c r="AT41" s="440">
        <v>2669.3523809523808</v>
      </c>
      <c r="AU41" s="329">
        <f>IFERROR(Tabla1[[#This Row],[CAUDAL TOTAL TRATADO GEM ]]/Tabla1[[#This Row],[CAUDAL DE TRATAMIENTO]],0)</f>
        <v>7</v>
      </c>
    </row>
    <row r="42" spans="1:47" ht="15" thickBot="1" x14ac:dyDescent="0.35">
      <c r="A42" s="563">
        <v>46067</v>
      </c>
      <c r="B42" s="96">
        <v>14</v>
      </c>
      <c r="C42" s="322" t="s">
        <v>283</v>
      </c>
      <c r="D42" s="323">
        <v>41</v>
      </c>
      <c r="E42" s="323" t="s">
        <v>77</v>
      </c>
      <c r="F42" s="441">
        <v>1350</v>
      </c>
      <c r="G42" s="442">
        <v>3600</v>
      </c>
      <c r="H42" s="442">
        <v>1800</v>
      </c>
      <c r="I42" s="442">
        <v>120</v>
      </c>
      <c r="J42" s="442">
        <v>35</v>
      </c>
      <c r="K42" s="453">
        <v>17039</v>
      </c>
      <c r="L42" s="450">
        <v>300</v>
      </c>
      <c r="M42" s="328">
        <v>75</v>
      </c>
      <c r="N42" s="426">
        <v>50</v>
      </c>
      <c r="O42" s="462">
        <v>190</v>
      </c>
      <c r="P42" s="426">
        <v>20</v>
      </c>
      <c r="Q42" s="426">
        <v>0</v>
      </c>
      <c r="R42" s="427">
        <v>5</v>
      </c>
      <c r="S42" s="432">
        <v>65</v>
      </c>
      <c r="T42" s="433">
        <v>251.75</v>
      </c>
      <c r="U42" s="433">
        <v>25</v>
      </c>
      <c r="V42" s="443">
        <v>0</v>
      </c>
      <c r="W42" s="427">
        <v>5</v>
      </c>
      <c r="X42" s="444">
        <v>216.66666666666666</v>
      </c>
      <c r="Y42" s="443">
        <v>839.16666666666663</v>
      </c>
      <c r="Z42" s="443">
        <v>83.333333333333329</v>
      </c>
      <c r="AA42" s="443">
        <v>0</v>
      </c>
      <c r="AB42" s="427">
        <v>16.666666666666668</v>
      </c>
      <c r="AC42" s="434">
        <v>1.3</v>
      </c>
      <c r="AD42" s="434">
        <v>1.325</v>
      </c>
      <c r="AE42" s="434">
        <v>1.25</v>
      </c>
      <c r="AF42" s="435">
        <v>2500</v>
      </c>
      <c r="AG42" s="436">
        <v>2500</v>
      </c>
      <c r="AH42" s="97">
        <v>830</v>
      </c>
      <c r="AI42" s="97">
        <v>2900</v>
      </c>
      <c r="AJ42" s="97">
        <v>6295</v>
      </c>
      <c r="AK42" s="97">
        <v>19050</v>
      </c>
      <c r="AL42" s="97">
        <v>22050</v>
      </c>
      <c r="AM42" s="445">
        <v>53950</v>
      </c>
      <c r="AN42" s="440">
        <v>730075</v>
      </c>
      <c r="AO42" s="440">
        <v>157375</v>
      </c>
      <c r="AP42" s="440">
        <v>0</v>
      </c>
      <c r="AQ42" s="446">
        <v>110250</v>
      </c>
      <c r="AR42" s="445">
        <v>1051650</v>
      </c>
      <c r="AS42" s="440">
        <v>5250</v>
      </c>
      <c r="AT42" s="440">
        <v>3505.5</v>
      </c>
      <c r="AU42" s="328">
        <f>IFERROR(Tabla1[[#This Row],[CAUDAL TOTAL TRATADO GEM ]]/Tabla1[[#This Row],[CAUDAL DE TRATAMIENTO]],0)</f>
        <v>4</v>
      </c>
    </row>
    <row r="43" spans="1:47" ht="15" thickBot="1" x14ac:dyDescent="0.35">
      <c r="A43" s="564">
        <v>46067</v>
      </c>
      <c r="B43" s="96">
        <v>14</v>
      </c>
      <c r="C43" s="324" t="s">
        <v>30</v>
      </c>
      <c r="D43" s="325">
        <v>42</v>
      </c>
      <c r="E43" s="325" t="s">
        <v>76</v>
      </c>
      <c r="F43" s="441">
        <v>1300</v>
      </c>
      <c r="G43" s="442">
        <v>3260</v>
      </c>
      <c r="H43" s="442">
        <v>1780</v>
      </c>
      <c r="I43" s="442">
        <v>120</v>
      </c>
      <c r="J43" s="442">
        <v>30</v>
      </c>
      <c r="K43" s="454">
        <v>17043</v>
      </c>
      <c r="L43" s="455">
        <v>300</v>
      </c>
      <c r="M43" s="330">
        <v>75</v>
      </c>
      <c r="N43" s="428">
        <v>0</v>
      </c>
      <c r="O43" s="458">
        <v>0</v>
      </c>
      <c r="P43" s="428">
        <v>0</v>
      </c>
      <c r="Q43" s="428">
        <v>5</v>
      </c>
      <c r="R43" s="429">
        <v>0</v>
      </c>
      <c r="S43" s="432">
        <v>0</v>
      </c>
      <c r="T43" s="433">
        <v>0</v>
      </c>
      <c r="U43" s="433">
        <v>0</v>
      </c>
      <c r="V43" s="447">
        <v>5</v>
      </c>
      <c r="W43" s="429">
        <v>0</v>
      </c>
      <c r="X43" s="444">
        <v>0</v>
      </c>
      <c r="Y43" s="447">
        <v>0</v>
      </c>
      <c r="Z43" s="447">
        <v>0</v>
      </c>
      <c r="AA43" s="447">
        <v>16.666666666666668</v>
      </c>
      <c r="AB43" s="429">
        <v>0</v>
      </c>
      <c r="AC43" s="434">
        <v>1.3</v>
      </c>
      <c r="AD43" s="434">
        <v>1.325</v>
      </c>
      <c r="AE43" s="434">
        <v>1.25</v>
      </c>
      <c r="AF43" s="435">
        <v>2500</v>
      </c>
      <c r="AG43" s="436">
        <v>2500</v>
      </c>
      <c r="AH43" s="97">
        <v>830</v>
      </c>
      <c r="AI43" s="97">
        <v>2900</v>
      </c>
      <c r="AJ43" s="97">
        <v>6295</v>
      </c>
      <c r="AK43" s="97">
        <v>19050</v>
      </c>
      <c r="AL43" s="97">
        <v>22050</v>
      </c>
      <c r="AM43" s="445">
        <v>0</v>
      </c>
      <c r="AN43" s="448">
        <v>0</v>
      </c>
      <c r="AO43" s="448">
        <v>0</v>
      </c>
      <c r="AP43" s="448">
        <v>95250</v>
      </c>
      <c r="AQ43" s="449">
        <v>0</v>
      </c>
      <c r="AR43" s="445">
        <v>95250</v>
      </c>
      <c r="AS43" s="448">
        <v>5250</v>
      </c>
      <c r="AT43" s="440">
        <v>317.5</v>
      </c>
      <c r="AU43" s="330">
        <f>IFERROR(Tabla1[[#This Row],[CAUDAL TOTAL TRATADO GEM ]]/Tabla1[[#This Row],[CAUDAL DE TRATAMIENTO]],0)</f>
        <v>4</v>
      </c>
    </row>
    <row r="44" spans="1:47" ht="15" thickBot="1" x14ac:dyDescent="0.35">
      <c r="A44" s="143">
        <v>46068</v>
      </c>
      <c r="B44" s="96">
        <v>15</v>
      </c>
      <c r="C44" s="320" t="s">
        <v>284</v>
      </c>
      <c r="D44" s="321">
        <v>43</v>
      </c>
      <c r="E44" s="321" t="s">
        <v>75</v>
      </c>
      <c r="F44" s="430">
        <v>1300</v>
      </c>
      <c r="G44" s="431">
        <v>3260</v>
      </c>
      <c r="H44" s="431">
        <v>1780</v>
      </c>
      <c r="I44" s="431">
        <v>115</v>
      </c>
      <c r="J44" s="431">
        <v>30</v>
      </c>
      <c r="K44" s="451">
        <v>17047</v>
      </c>
      <c r="L44" s="452">
        <v>0</v>
      </c>
      <c r="M44" s="329">
        <v>75</v>
      </c>
      <c r="N44" s="424">
        <v>0</v>
      </c>
      <c r="O44" s="456">
        <v>0</v>
      </c>
      <c r="P44" s="424">
        <v>0</v>
      </c>
      <c r="Q44" s="424">
        <v>0</v>
      </c>
      <c r="R44" s="425">
        <v>0</v>
      </c>
      <c r="S44" s="432">
        <v>0</v>
      </c>
      <c r="T44" s="433">
        <v>0</v>
      </c>
      <c r="U44" s="433">
        <v>0</v>
      </c>
      <c r="V44" s="433">
        <v>0</v>
      </c>
      <c r="W44" s="425">
        <v>0</v>
      </c>
      <c r="X44" s="432" t="e">
        <v>#DIV/0!</v>
      </c>
      <c r="Y44" s="433" t="e">
        <v>#DIV/0!</v>
      </c>
      <c r="Z44" s="433" t="e">
        <v>#DIV/0!</v>
      </c>
      <c r="AA44" s="433" t="e">
        <v>#DIV/0!</v>
      </c>
      <c r="AB44" s="425" t="e">
        <v>#DIV/0!</v>
      </c>
      <c r="AC44" s="434">
        <v>1.3</v>
      </c>
      <c r="AD44" s="434">
        <v>1.325</v>
      </c>
      <c r="AE44" s="434">
        <v>1.25</v>
      </c>
      <c r="AF44" s="435">
        <v>2500</v>
      </c>
      <c r="AG44" s="436">
        <v>2500</v>
      </c>
      <c r="AH44" s="97">
        <v>830</v>
      </c>
      <c r="AI44" s="97">
        <v>2900</v>
      </c>
      <c r="AJ44" s="97">
        <v>6295</v>
      </c>
      <c r="AK44" s="97">
        <v>19050</v>
      </c>
      <c r="AL44" s="97">
        <v>22050</v>
      </c>
      <c r="AM44" s="437">
        <v>0</v>
      </c>
      <c r="AN44" s="438">
        <v>0</v>
      </c>
      <c r="AO44" s="438">
        <v>0</v>
      </c>
      <c r="AP44" s="438">
        <v>0</v>
      </c>
      <c r="AQ44" s="439">
        <v>0</v>
      </c>
      <c r="AR44" s="437">
        <v>0</v>
      </c>
      <c r="AS44" s="438">
        <v>5250</v>
      </c>
      <c r="AT44" s="440" t="e">
        <v>#DIV/0!</v>
      </c>
      <c r="AU44" s="329">
        <f>IFERROR(Tabla1[[#This Row],[CAUDAL TOTAL TRATADO GEM ]]/Tabla1[[#This Row],[CAUDAL DE TRATAMIENTO]],0)</f>
        <v>0</v>
      </c>
    </row>
    <row r="45" spans="1:47" ht="15" thickBot="1" x14ac:dyDescent="0.35">
      <c r="A45" s="563">
        <v>46068</v>
      </c>
      <c r="B45" s="96">
        <v>15</v>
      </c>
      <c r="C45" s="322" t="s">
        <v>285</v>
      </c>
      <c r="D45" s="323">
        <v>44</v>
      </c>
      <c r="E45" s="323" t="s">
        <v>77</v>
      </c>
      <c r="F45" s="441">
        <v>1300</v>
      </c>
      <c r="G45" s="442">
        <v>3260</v>
      </c>
      <c r="H45" s="442">
        <v>1780</v>
      </c>
      <c r="I45" s="442">
        <v>115</v>
      </c>
      <c r="J45" s="442">
        <v>30</v>
      </c>
      <c r="K45" s="453">
        <v>17047</v>
      </c>
      <c r="L45" s="450">
        <v>0</v>
      </c>
      <c r="M45" s="328">
        <v>75</v>
      </c>
      <c r="N45" s="426">
        <v>0</v>
      </c>
      <c r="O45" s="457">
        <v>0</v>
      </c>
      <c r="P45" s="426">
        <v>0</v>
      </c>
      <c r="Q45" s="426">
        <v>0</v>
      </c>
      <c r="R45" s="427">
        <v>0</v>
      </c>
      <c r="S45" s="432">
        <v>0</v>
      </c>
      <c r="T45" s="433">
        <v>0</v>
      </c>
      <c r="U45" s="433">
        <v>0</v>
      </c>
      <c r="V45" s="443">
        <v>0</v>
      </c>
      <c r="W45" s="427">
        <v>0</v>
      </c>
      <c r="X45" s="444" t="e">
        <v>#DIV/0!</v>
      </c>
      <c r="Y45" s="443" t="e">
        <v>#DIV/0!</v>
      </c>
      <c r="Z45" s="443" t="e">
        <v>#DIV/0!</v>
      </c>
      <c r="AA45" s="443" t="e">
        <v>#DIV/0!</v>
      </c>
      <c r="AB45" s="427" t="e">
        <v>#DIV/0!</v>
      </c>
      <c r="AC45" s="434">
        <v>1.3</v>
      </c>
      <c r="AD45" s="434">
        <v>1.325</v>
      </c>
      <c r="AE45" s="434">
        <v>1.25</v>
      </c>
      <c r="AF45" s="435">
        <v>2500</v>
      </c>
      <c r="AG45" s="436">
        <v>2500</v>
      </c>
      <c r="AH45" s="97">
        <v>830</v>
      </c>
      <c r="AI45" s="97">
        <v>2900</v>
      </c>
      <c r="AJ45" s="97">
        <v>6295</v>
      </c>
      <c r="AK45" s="97">
        <v>19050</v>
      </c>
      <c r="AL45" s="97">
        <v>22050</v>
      </c>
      <c r="AM45" s="445">
        <v>0</v>
      </c>
      <c r="AN45" s="440">
        <v>0</v>
      </c>
      <c r="AO45" s="440">
        <v>0</v>
      </c>
      <c r="AP45" s="440">
        <v>0</v>
      </c>
      <c r="AQ45" s="446">
        <v>0</v>
      </c>
      <c r="AR45" s="445">
        <v>0</v>
      </c>
      <c r="AS45" s="440">
        <v>5250</v>
      </c>
      <c r="AT45" s="440" t="e">
        <v>#DIV/0!</v>
      </c>
      <c r="AU45" s="328">
        <f>IFERROR(Tabla1[[#This Row],[CAUDAL TOTAL TRATADO GEM ]]/Tabla1[[#This Row],[CAUDAL DE TRATAMIENTO]],0)</f>
        <v>0</v>
      </c>
    </row>
    <row r="46" spans="1:47" ht="15" thickBot="1" x14ac:dyDescent="0.35">
      <c r="A46" s="564">
        <v>46068</v>
      </c>
      <c r="B46" s="96">
        <v>15</v>
      </c>
      <c r="C46" s="324" t="s">
        <v>30</v>
      </c>
      <c r="D46" s="325">
        <v>45</v>
      </c>
      <c r="E46" s="325" t="s">
        <v>76</v>
      </c>
      <c r="F46" s="441">
        <v>1300</v>
      </c>
      <c r="G46" s="442">
        <v>3260</v>
      </c>
      <c r="H46" s="442">
        <v>1780</v>
      </c>
      <c r="I46" s="442">
        <v>115</v>
      </c>
      <c r="J46" s="442">
        <v>30</v>
      </c>
      <c r="K46" s="454">
        <v>17047</v>
      </c>
      <c r="L46" s="455">
        <v>0</v>
      </c>
      <c r="M46" s="330">
        <v>75</v>
      </c>
      <c r="N46" s="428">
        <v>0</v>
      </c>
      <c r="O46" s="458">
        <v>0</v>
      </c>
      <c r="P46" s="428">
        <v>0</v>
      </c>
      <c r="Q46" s="428">
        <v>0</v>
      </c>
      <c r="R46" s="429">
        <v>0</v>
      </c>
      <c r="S46" s="432">
        <v>0</v>
      </c>
      <c r="T46" s="433">
        <v>0</v>
      </c>
      <c r="U46" s="433">
        <v>0</v>
      </c>
      <c r="V46" s="447">
        <v>0</v>
      </c>
      <c r="W46" s="429">
        <v>0</v>
      </c>
      <c r="X46" s="444" t="e">
        <v>#DIV/0!</v>
      </c>
      <c r="Y46" s="447" t="e">
        <v>#DIV/0!</v>
      </c>
      <c r="Z46" s="447" t="e">
        <v>#DIV/0!</v>
      </c>
      <c r="AA46" s="447" t="e">
        <v>#DIV/0!</v>
      </c>
      <c r="AB46" s="429" t="e">
        <v>#DIV/0!</v>
      </c>
      <c r="AC46" s="434">
        <v>1.3</v>
      </c>
      <c r="AD46" s="434">
        <v>1.325</v>
      </c>
      <c r="AE46" s="434">
        <v>1.25</v>
      </c>
      <c r="AF46" s="435">
        <v>2500</v>
      </c>
      <c r="AG46" s="436">
        <v>2500</v>
      </c>
      <c r="AH46" s="97">
        <v>830</v>
      </c>
      <c r="AI46" s="97">
        <v>2900</v>
      </c>
      <c r="AJ46" s="97">
        <v>6295</v>
      </c>
      <c r="AK46" s="97">
        <v>19050</v>
      </c>
      <c r="AL46" s="97">
        <v>22050</v>
      </c>
      <c r="AM46" s="445">
        <v>0</v>
      </c>
      <c r="AN46" s="448">
        <v>0</v>
      </c>
      <c r="AO46" s="448">
        <v>0</v>
      </c>
      <c r="AP46" s="448">
        <v>0</v>
      </c>
      <c r="AQ46" s="449">
        <v>0</v>
      </c>
      <c r="AR46" s="445">
        <v>0</v>
      </c>
      <c r="AS46" s="448">
        <v>5250</v>
      </c>
      <c r="AT46" s="440" t="e">
        <v>#DIV/0!</v>
      </c>
      <c r="AU46" s="330">
        <f>IFERROR(Tabla1[[#This Row],[CAUDAL TOTAL TRATADO GEM ]]/Tabla1[[#This Row],[CAUDAL DE TRATAMIENTO]],0)</f>
        <v>0</v>
      </c>
    </row>
    <row r="47" spans="1:47" ht="15" thickBot="1" x14ac:dyDescent="0.35">
      <c r="A47" s="143">
        <v>46069</v>
      </c>
      <c r="B47" s="96">
        <v>16</v>
      </c>
      <c r="C47" s="320" t="s">
        <v>286</v>
      </c>
      <c r="D47" s="321">
        <v>46</v>
      </c>
      <c r="E47" s="321" t="s">
        <v>75</v>
      </c>
      <c r="F47" s="430">
        <v>1300</v>
      </c>
      <c r="G47" s="431">
        <v>3260</v>
      </c>
      <c r="H47" s="431">
        <v>1780</v>
      </c>
      <c r="I47" s="431">
        <v>115</v>
      </c>
      <c r="J47" s="431">
        <v>30</v>
      </c>
      <c r="K47" s="451">
        <v>17047</v>
      </c>
      <c r="L47" s="452">
        <v>480</v>
      </c>
      <c r="M47" s="329">
        <v>80</v>
      </c>
      <c r="N47" s="424">
        <v>200</v>
      </c>
      <c r="O47" s="456">
        <v>380</v>
      </c>
      <c r="P47" s="424">
        <v>80</v>
      </c>
      <c r="Q47" s="424">
        <v>5</v>
      </c>
      <c r="R47" s="425">
        <v>5</v>
      </c>
      <c r="S47" s="432">
        <v>260</v>
      </c>
      <c r="T47" s="433">
        <v>503.5</v>
      </c>
      <c r="U47" s="433">
        <v>100</v>
      </c>
      <c r="V47" s="433">
        <v>5</v>
      </c>
      <c r="W47" s="425">
        <v>5</v>
      </c>
      <c r="X47" s="432">
        <v>541.66666666666663</v>
      </c>
      <c r="Y47" s="433">
        <v>1048.9583333333333</v>
      </c>
      <c r="Z47" s="433">
        <v>208.33333333333334</v>
      </c>
      <c r="AA47" s="433">
        <v>10.416666666666666</v>
      </c>
      <c r="AB47" s="425">
        <v>10.416666666666666</v>
      </c>
      <c r="AC47" s="434">
        <v>1.3</v>
      </c>
      <c r="AD47" s="434">
        <v>1.325</v>
      </c>
      <c r="AE47" s="434">
        <v>1.25</v>
      </c>
      <c r="AF47" s="435">
        <v>2500</v>
      </c>
      <c r="AG47" s="436">
        <v>2500</v>
      </c>
      <c r="AH47" s="97">
        <v>830</v>
      </c>
      <c r="AI47" s="97">
        <v>2900</v>
      </c>
      <c r="AJ47" s="97">
        <v>6295</v>
      </c>
      <c r="AK47" s="97">
        <v>19050</v>
      </c>
      <c r="AL47" s="97">
        <v>22050</v>
      </c>
      <c r="AM47" s="437">
        <v>215800</v>
      </c>
      <c r="AN47" s="438">
        <v>1460150</v>
      </c>
      <c r="AO47" s="438">
        <v>629500</v>
      </c>
      <c r="AP47" s="438">
        <v>95250</v>
      </c>
      <c r="AQ47" s="439">
        <v>110250</v>
      </c>
      <c r="AR47" s="437">
        <v>2510950</v>
      </c>
      <c r="AS47" s="438">
        <v>5250</v>
      </c>
      <c r="AT47" s="440">
        <v>5231.145833333333</v>
      </c>
      <c r="AU47" s="329">
        <f>IFERROR(Tabla1[[#This Row],[CAUDAL TOTAL TRATADO GEM ]]/Tabla1[[#This Row],[CAUDAL DE TRATAMIENTO]],0)</f>
        <v>6</v>
      </c>
    </row>
    <row r="48" spans="1:47" ht="15" thickBot="1" x14ac:dyDescent="0.35">
      <c r="A48" s="563">
        <v>46069</v>
      </c>
      <c r="B48" s="96">
        <v>16</v>
      </c>
      <c r="C48" s="322" t="s">
        <v>287</v>
      </c>
      <c r="D48" s="323">
        <v>47</v>
      </c>
      <c r="E48" s="323" t="s">
        <v>77</v>
      </c>
      <c r="F48" s="441">
        <v>1100</v>
      </c>
      <c r="G48" s="442">
        <v>2880</v>
      </c>
      <c r="H48" s="442">
        <v>1700</v>
      </c>
      <c r="I48" s="442">
        <v>110</v>
      </c>
      <c r="J48" s="442">
        <v>25</v>
      </c>
      <c r="K48" s="453">
        <v>17053</v>
      </c>
      <c r="L48" s="450">
        <v>320</v>
      </c>
      <c r="M48" s="328">
        <v>80</v>
      </c>
      <c r="N48" s="426">
        <v>100</v>
      </c>
      <c r="O48" s="457">
        <v>240</v>
      </c>
      <c r="P48" s="426">
        <v>60</v>
      </c>
      <c r="Q48" s="426">
        <v>0</v>
      </c>
      <c r="R48" s="427">
        <v>5</v>
      </c>
      <c r="S48" s="432">
        <v>130</v>
      </c>
      <c r="T48" s="433">
        <v>318</v>
      </c>
      <c r="U48" s="433">
        <v>75</v>
      </c>
      <c r="V48" s="443">
        <v>0</v>
      </c>
      <c r="W48" s="427">
        <v>5</v>
      </c>
      <c r="X48" s="444">
        <v>406.25</v>
      </c>
      <c r="Y48" s="443">
        <v>993.75</v>
      </c>
      <c r="Z48" s="443">
        <v>234.375</v>
      </c>
      <c r="AA48" s="443">
        <v>0</v>
      </c>
      <c r="AB48" s="427">
        <v>15.625</v>
      </c>
      <c r="AC48" s="434">
        <v>1.3</v>
      </c>
      <c r="AD48" s="434">
        <v>1.325</v>
      </c>
      <c r="AE48" s="434">
        <v>1.25</v>
      </c>
      <c r="AF48" s="435">
        <v>2500</v>
      </c>
      <c r="AG48" s="436">
        <v>2500</v>
      </c>
      <c r="AH48" s="97">
        <v>830</v>
      </c>
      <c r="AI48" s="97">
        <v>2900</v>
      </c>
      <c r="AJ48" s="97">
        <v>6295</v>
      </c>
      <c r="AK48" s="97">
        <v>19050</v>
      </c>
      <c r="AL48" s="97">
        <v>22050</v>
      </c>
      <c r="AM48" s="445">
        <v>107900</v>
      </c>
      <c r="AN48" s="440">
        <v>922200</v>
      </c>
      <c r="AO48" s="440">
        <v>472125</v>
      </c>
      <c r="AP48" s="440">
        <v>0</v>
      </c>
      <c r="AQ48" s="446">
        <v>110250</v>
      </c>
      <c r="AR48" s="445">
        <v>1612475</v>
      </c>
      <c r="AS48" s="440">
        <v>5250</v>
      </c>
      <c r="AT48" s="440">
        <v>5038.984375</v>
      </c>
      <c r="AU48" s="328">
        <f>IFERROR(Tabla1[[#This Row],[CAUDAL TOTAL TRATADO GEM ]]/Tabla1[[#This Row],[CAUDAL DE TRATAMIENTO]],0)</f>
        <v>4</v>
      </c>
    </row>
    <row r="49" spans="1:47" ht="15" thickBot="1" x14ac:dyDescent="0.35">
      <c r="A49" s="564">
        <v>46069</v>
      </c>
      <c r="B49" s="96">
        <v>16</v>
      </c>
      <c r="C49" s="324" t="s">
        <v>30</v>
      </c>
      <c r="D49" s="325">
        <v>48</v>
      </c>
      <c r="E49" s="325" t="s">
        <v>76</v>
      </c>
      <c r="F49" s="441">
        <v>1000</v>
      </c>
      <c r="G49" s="442">
        <v>2640</v>
      </c>
      <c r="H49" s="442">
        <v>1640</v>
      </c>
      <c r="I49" s="442">
        <v>110</v>
      </c>
      <c r="J49" s="442">
        <v>20</v>
      </c>
      <c r="K49" s="454">
        <v>17057</v>
      </c>
      <c r="L49" s="455">
        <v>640</v>
      </c>
      <c r="M49" s="330">
        <v>80</v>
      </c>
      <c r="N49" s="428">
        <v>100</v>
      </c>
      <c r="O49" s="458">
        <v>240</v>
      </c>
      <c r="P49" s="428">
        <v>40</v>
      </c>
      <c r="Q49" s="428">
        <v>0</v>
      </c>
      <c r="R49" s="429">
        <v>5</v>
      </c>
      <c r="S49" s="432">
        <v>130</v>
      </c>
      <c r="T49" s="433">
        <v>318</v>
      </c>
      <c r="U49" s="433">
        <v>50</v>
      </c>
      <c r="V49" s="447">
        <v>0</v>
      </c>
      <c r="W49" s="429">
        <v>5</v>
      </c>
      <c r="X49" s="444">
        <v>203.125</v>
      </c>
      <c r="Y49" s="447">
        <v>496.875</v>
      </c>
      <c r="Z49" s="447">
        <v>78.125</v>
      </c>
      <c r="AA49" s="447">
        <v>0</v>
      </c>
      <c r="AB49" s="429">
        <v>7.8125</v>
      </c>
      <c r="AC49" s="434">
        <v>1.3</v>
      </c>
      <c r="AD49" s="434">
        <v>1.325</v>
      </c>
      <c r="AE49" s="434">
        <v>1.25</v>
      </c>
      <c r="AF49" s="435">
        <v>2500</v>
      </c>
      <c r="AG49" s="436">
        <v>2500</v>
      </c>
      <c r="AH49" s="97">
        <v>830</v>
      </c>
      <c r="AI49" s="97">
        <v>2900</v>
      </c>
      <c r="AJ49" s="97">
        <v>6295</v>
      </c>
      <c r="AK49" s="97">
        <v>19050</v>
      </c>
      <c r="AL49" s="97">
        <v>22050</v>
      </c>
      <c r="AM49" s="445">
        <v>107900</v>
      </c>
      <c r="AN49" s="448">
        <v>922200</v>
      </c>
      <c r="AO49" s="448">
        <v>314750</v>
      </c>
      <c r="AP49" s="448">
        <v>0</v>
      </c>
      <c r="AQ49" s="449">
        <v>110250</v>
      </c>
      <c r="AR49" s="445">
        <v>1455100</v>
      </c>
      <c r="AS49" s="448">
        <v>5250</v>
      </c>
      <c r="AT49" s="440">
        <v>2273.59375</v>
      </c>
      <c r="AU49" s="330">
        <f>IFERROR(Tabla1[[#This Row],[CAUDAL TOTAL TRATADO GEM ]]/Tabla1[[#This Row],[CAUDAL DE TRATAMIENTO]],0)</f>
        <v>8</v>
      </c>
    </row>
    <row r="50" spans="1:47" ht="15" thickBot="1" x14ac:dyDescent="0.35">
      <c r="A50" s="143">
        <v>46070</v>
      </c>
      <c r="B50" s="96">
        <v>17</v>
      </c>
      <c r="C50" s="320" t="s">
        <v>288</v>
      </c>
      <c r="D50" s="321">
        <v>49</v>
      </c>
      <c r="E50" s="321" t="s">
        <v>75</v>
      </c>
      <c r="F50" s="430">
        <v>900</v>
      </c>
      <c r="G50" s="431">
        <v>2400</v>
      </c>
      <c r="H50" s="431">
        <v>1600</v>
      </c>
      <c r="I50" s="431">
        <v>110</v>
      </c>
      <c r="J50" s="431">
        <v>15</v>
      </c>
      <c r="K50" s="451">
        <v>17065</v>
      </c>
      <c r="L50" s="452">
        <v>400</v>
      </c>
      <c r="M50" s="329">
        <v>80</v>
      </c>
      <c r="N50" s="424">
        <v>140</v>
      </c>
      <c r="O50" s="456">
        <v>100</v>
      </c>
      <c r="P50" s="424">
        <v>0</v>
      </c>
      <c r="Q50" s="424">
        <v>5</v>
      </c>
      <c r="R50" s="425">
        <v>5</v>
      </c>
      <c r="S50" s="432">
        <v>182</v>
      </c>
      <c r="T50" s="433">
        <v>132.5</v>
      </c>
      <c r="U50" s="433">
        <v>0</v>
      </c>
      <c r="V50" s="433">
        <v>5</v>
      </c>
      <c r="W50" s="425">
        <v>5</v>
      </c>
      <c r="X50" s="432">
        <v>455</v>
      </c>
      <c r="Y50" s="433">
        <v>331.25</v>
      </c>
      <c r="Z50" s="433">
        <v>0</v>
      </c>
      <c r="AA50" s="433">
        <v>12.5</v>
      </c>
      <c r="AB50" s="425">
        <v>12.5</v>
      </c>
      <c r="AC50" s="434">
        <v>1.3</v>
      </c>
      <c r="AD50" s="434">
        <v>1.325</v>
      </c>
      <c r="AE50" s="434">
        <v>1.25</v>
      </c>
      <c r="AF50" s="435">
        <v>2500</v>
      </c>
      <c r="AG50" s="436">
        <v>2500</v>
      </c>
      <c r="AH50" s="97">
        <v>830</v>
      </c>
      <c r="AI50" s="97">
        <v>2900</v>
      </c>
      <c r="AJ50" s="97">
        <v>6295</v>
      </c>
      <c r="AK50" s="97">
        <v>19050</v>
      </c>
      <c r="AL50" s="97">
        <v>22050</v>
      </c>
      <c r="AM50" s="437">
        <v>151060</v>
      </c>
      <c r="AN50" s="438">
        <v>384250</v>
      </c>
      <c r="AO50" s="438">
        <v>0</v>
      </c>
      <c r="AP50" s="438">
        <v>95250</v>
      </c>
      <c r="AQ50" s="439">
        <v>110250</v>
      </c>
      <c r="AR50" s="437">
        <v>740810</v>
      </c>
      <c r="AS50" s="438">
        <v>5250</v>
      </c>
      <c r="AT50" s="440">
        <v>1852.0250000000001</v>
      </c>
      <c r="AU50" s="329">
        <f>IFERROR(Tabla1[[#This Row],[CAUDAL TOTAL TRATADO GEM ]]/Tabla1[[#This Row],[CAUDAL DE TRATAMIENTO]],0)</f>
        <v>5</v>
      </c>
    </row>
    <row r="51" spans="1:47" ht="15" thickBot="1" x14ac:dyDescent="0.35">
      <c r="A51" s="563">
        <v>46070</v>
      </c>
      <c r="B51" s="96">
        <v>17</v>
      </c>
      <c r="C51" s="322" t="s">
        <v>289</v>
      </c>
      <c r="D51" s="323">
        <v>50</v>
      </c>
      <c r="E51" s="323" t="s">
        <v>77</v>
      </c>
      <c r="F51" s="441">
        <v>760</v>
      </c>
      <c r="G51" s="442">
        <v>2300</v>
      </c>
      <c r="H51" s="442">
        <v>1600</v>
      </c>
      <c r="I51" s="442">
        <v>105</v>
      </c>
      <c r="J51" s="442">
        <v>10</v>
      </c>
      <c r="K51" s="453">
        <v>17070</v>
      </c>
      <c r="L51" s="450">
        <v>400</v>
      </c>
      <c r="M51" s="328">
        <v>80</v>
      </c>
      <c r="N51" s="426">
        <v>60</v>
      </c>
      <c r="O51" s="457">
        <v>150</v>
      </c>
      <c r="P51" s="426">
        <v>50</v>
      </c>
      <c r="Q51" s="426">
        <v>0</v>
      </c>
      <c r="R51" s="427">
        <v>5</v>
      </c>
      <c r="S51" s="432">
        <v>78</v>
      </c>
      <c r="T51" s="433">
        <v>198.75</v>
      </c>
      <c r="U51" s="433">
        <v>62.5</v>
      </c>
      <c r="V51" s="443">
        <v>0</v>
      </c>
      <c r="W51" s="427">
        <v>5</v>
      </c>
      <c r="X51" s="444">
        <v>195</v>
      </c>
      <c r="Y51" s="443">
        <v>496.875</v>
      </c>
      <c r="Z51" s="443">
        <v>156.25</v>
      </c>
      <c r="AA51" s="443">
        <v>0</v>
      </c>
      <c r="AB51" s="427">
        <v>12.5</v>
      </c>
      <c r="AC51" s="434">
        <v>1.3</v>
      </c>
      <c r="AD51" s="434">
        <v>1.325</v>
      </c>
      <c r="AE51" s="434">
        <v>1.25</v>
      </c>
      <c r="AF51" s="435">
        <v>2500</v>
      </c>
      <c r="AG51" s="436">
        <v>2500</v>
      </c>
      <c r="AH51" s="97">
        <v>830</v>
      </c>
      <c r="AI51" s="97">
        <v>2900</v>
      </c>
      <c r="AJ51" s="97">
        <v>6295</v>
      </c>
      <c r="AK51" s="97">
        <v>19050</v>
      </c>
      <c r="AL51" s="97">
        <v>22050</v>
      </c>
      <c r="AM51" s="445">
        <v>64740</v>
      </c>
      <c r="AN51" s="440">
        <v>576375</v>
      </c>
      <c r="AO51" s="440">
        <v>393437.5</v>
      </c>
      <c r="AP51" s="440">
        <v>0</v>
      </c>
      <c r="AQ51" s="446">
        <v>110250</v>
      </c>
      <c r="AR51" s="445">
        <v>1144802.5</v>
      </c>
      <c r="AS51" s="440">
        <v>5250</v>
      </c>
      <c r="AT51" s="440">
        <v>2862.0062499999999</v>
      </c>
      <c r="AU51" s="328">
        <f>IFERROR(Tabla1[[#This Row],[CAUDAL TOTAL TRATADO GEM ]]/Tabla1[[#This Row],[CAUDAL DE TRATAMIENTO]],0)</f>
        <v>5</v>
      </c>
    </row>
    <row r="52" spans="1:47" ht="15" thickBot="1" x14ac:dyDescent="0.35">
      <c r="A52" s="564">
        <v>46070</v>
      </c>
      <c r="B52" s="96">
        <v>17</v>
      </c>
      <c r="C52" s="324" t="s">
        <v>30</v>
      </c>
      <c r="D52" s="325">
        <v>51</v>
      </c>
      <c r="E52" s="325" t="s">
        <v>76</v>
      </c>
      <c r="F52" s="441">
        <v>700</v>
      </c>
      <c r="G52" s="442">
        <v>2150</v>
      </c>
      <c r="H52" s="442">
        <v>1550</v>
      </c>
      <c r="I52" s="442">
        <v>105</v>
      </c>
      <c r="J52" s="442">
        <v>5</v>
      </c>
      <c r="K52" s="454">
        <v>17075</v>
      </c>
      <c r="L52" s="455">
        <v>400</v>
      </c>
      <c r="M52" s="330">
        <v>80</v>
      </c>
      <c r="N52" s="428">
        <v>50</v>
      </c>
      <c r="O52" s="458">
        <v>50</v>
      </c>
      <c r="P52" s="428">
        <v>60</v>
      </c>
      <c r="Q52" s="428">
        <v>0</v>
      </c>
      <c r="R52" s="429">
        <v>5</v>
      </c>
      <c r="S52" s="432">
        <v>65</v>
      </c>
      <c r="T52" s="433">
        <v>66.25</v>
      </c>
      <c r="U52" s="433">
        <v>75</v>
      </c>
      <c r="V52" s="447">
        <v>0</v>
      </c>
      <c r="W52" s="429">
        <v>5</v>
      </c>
      <c r="X52" s="444">
        <v>162.5</v>
      </c>
      <c r="Y52" s="447">
        <v>165.625</v>
      </c>
      <c r="Z52" s="447">
        <v>187.5</v>
      </c>
      <c r="AA52" s="447">
        <v>0</v>
      </c>
      <c r="AB52" s="429">
        <v>12.5</v>
      </c>
      <c r="AC52" s="434">
        <v>1.3</v>
      </c>
      <c r="AD52" s="434">
        <v>1.325</v>
      </c>
      <c r="AE52" s="434">
        <v>1.25</v>
      </c>
      <c r="AF52" s="435">
        <v>2500</v>
      </c>
      <c r="AG52" s="436">
        <v>2500</v>
      </c>
      <c r="AH52" s="97">
        <v>830</v>
      </c>
      <c r="AI52" s="97">
        <v>2900</v>
      </c>
      <c r="AJ52" s="97">
        <v>6295</v>
      </c>
      <c r="AK52" s="97">
        <v>19050</v>
      </c>
      <c r="AL52" s="97">
        <v>22050</v>
      </c>
      <c r="AM52" s="445">
        <v>53950</v>
      </c>
      <c r="AN52" s="448">
        <v>192125</v>
      </c>
      <c r="AO52" s="448">
        <v>472125</v>
      </c>
      <c r="AP52" s="448">
        <v>0</v>
      </c>
      <c r="AQ52" s="449">
        <v>110250</v>
      </c>
      <c r="AR52" s="445">
        <v>828450</v>
      </c>
      <c r="AS52" s="448">
        <v>5250</v>
      </c>
      <c r="AT52" s="440">
        <v>2071.125</v>
      </c>
      <c r="AU52" s="330">
        <f>IFERROR(Tabla1[[#This Row],[CAUDAL TOTAL TRATADO GEM ]]/Tabla1[[#This Row],[CAUDAL DE TRATAMIENTO]],0)</f>
        <v>5</v>
      </c>
    </row>
    <row r="53" spans="1:47" ht="15" thickBot="1" x14ac:dyDescent="0.35">
      <c r="A53" s="143">
        <v>46071</v>
      </c>
      <c r="B53" s="96">
        <v>18</v>
      </c>
      <c r="C53" s="320" t="s">
        <v>290</v>
      </c>
      <c r="D53" s="321">
        <v>52</v>
      </c>
      <c r="E53" s="321" t="s">
        <v>75</v>
      </c>
      <c r="F53" s="430">
        <v>650</v>
      </c>
      <c r="G53" s="431">
        <v>2100</v>
      </c>
      <c r="H53" s="431">
        <v>1490</v>
      </c>
      <c r="I53" s="431">
        <v>105</v>
      </c>
      <c r="J53" s="431">
        <v>0</v>
      </c>
      <c r="K53" s="451">
        <v>17080</v>
      </c>
      <c r="L53" s="452">
        <v>320</v>
      </c>
      <c r="M53" s="329">
        <v>80</v>
      </c>
      <c r="N53" s="424">
        <v>70</v>
      </c>
      <c r="O53" s="456">
        <v>0</v>
      </c>
      <c r="P53" s="424">
        <v>80</v>
      </c>
      <c r="Q53" s="424">
        <v>5</v>
      </c>
      <c r="R53" s="425">
        <v>5</v>
      </c>
      <c r="S53" s="432">
        <v>91</v>
      </c>
      <c r="T53" s="433">
        <v>0</v>
      </c>
      <c r="U53" s="433">
        <v>100</v>
      </c>
      <c r="V53" s="433">
        <v>5</v>
      </c>
      <c r="W53" s="425">
        <v>5</v>
      </c>
      <c r="X53" s="432">
        <v>284.375</v>
      </c>
      <c r="Y53" s="433">
        <v>0</v>
      </c>
      <c r="Z53" s="433">
        <v>312.5</v>
      </c>
      <c r="AA53" s="433">
        <v>15.625</v>
      </c>
      <c r="AB53" s="425">
        <v>15.625</v>
      </c>
      <c r="AC53" s="434">
        <v>1.3</v>
      </c>
      <c r="AD53" s="434">
        <v>1.325</v>
      </c>
      <c r="AE53" s="434">
        <v>1.25</v>
      </c>
      <c r="AF53" s="435">
        <v>2500</v>
      </c>
      <c r="AG53" s="436">
        <v>2500</v>
      </c>
      <c r="AH53" s="97">
        <v>830</v>
      </c>
      <c r="AI53" s="97">
        <v>2900</v>
      </c>
      <c r="AJ53" s="97">
        <v>6295</v>
      </c>
      <c r="AK53" s="97">
        <v>19050</v>
      </c>
      <c r="AL53" s="97">
        <v>22050</v>
      </c>
      <c r="AM53" s="437">
        <v>75530</v>
      </c>
      <c r="AN53" s="438">
        <v>0</v>
      </c>
      <c r="AO53" s="438">
        <v>629500</v>
      </c>
      <c r="AP53" s="438">
        <v>95250</v>
      </c>
      <c r="AQ53" s="439">
        <v>110250</v>
      </c>
      <c r="AR53" s="437">
        <v>910530</v>
      </c>
      <c r="AS53" s="438">
        <v>5250</v>
      </c>
      <c r="AT53" s="440">
        <v>2845.40625</v>
      </c>
      <c r="AU53" s="329">
        <f>IFERROR(Tabla1[[#This Row],[CAUDAL TOTAL TRATADO GEM ]]/Tabla1[[#This Row],[CAUDAL DE TRATAMIENTO]],0)</f>
        <v>4</v>
      </c>
    </row>
    <row r="54" spans="1:47" ht="15" thickBot="1" x14ac:dyDescent="0.35">
      <c r="A54" s="563">
        <v>46071</v>
      </c>
      <c r="B54" s="96">
        <v>18</v>
      </c>
      <c r="C54" s="322" t="s">
        <v>291</v>
      </c>
      <c r="D54" s="323">
        <v>53</v>
      </c>
      <c r="E54" s="323" t="s">
        <v>77</v>
      </c>
      <c r="F54" s="441">
        <v>580</v>
      </c>
      <c r="G54" s="442">
        <v>2100</v>
      </c>
      <c r="H54" s="442">
        <v>1410</v>
      </c>
      <c r="I54" s="442">
        <v>100</v>
      </c>
      <c r="J54" s="442">
        <v>295</v>
      </c>
      <c r="K54" s="453">
        <v>17084</v>
      </c>
      <c r="L54" s="450">
        <v>160</v>
      </c>
      <c r="M54" s="328">
        <v>80</v>
      </c>
      <c r="N54" s="426">
        <v>80</v>
      </c>
      <c r="O54" s="457">
        <v>0</v>
      </c>
      <c r="P54" s="426">
        <v>40</v>
      </c>
      <c r="Q54" s="426">
        <v>0</v>
      </c>
      <c r="R54" s="427">
        <v>5</v>
      </c>
      <c r="S54" s="432">
        <v>104</v>
      </c>
      <c r="T54" s="433">
        <v>0</v>
      </c>
      <c r="U54" s="433">
        <v>50</v>
      </c>
      <c r="V54" s="443">
        <v>0</v>
      </c>
      <c r="W54" s="427">
        <v>5</v>
      </c>
      <c r="X54" s="444">
        <v>650</v>
      </c>
      <c r="Y54" s="443">
        <v>0</v>
      </c>
      <c r="Z54" s="443">
        <v>312.5</v>
      </c>
      <c r="AA54" s="443">
        <v>0</v>
      </c>
      <c r="AB54" s="427">
        <v>31.25</v>
      </c>
      <c r="AC54" s="434">
        <v>1.3</v>
      </c>
      <c r="AD54" s="434">
        <v>1.325</v>
      </c>
      <c r="AE54" s="434">
        <v>1.25</v>
      </c>
      <c r="AF54" s="435">
        <v>2500</v>
      </c>
      <c r="AG54" s="436">
        <v>2500</v>
      </c>
      <c r="AH54" s="97">
        <v>830</v>
      </c>
      <c r="AI54" s="97">
        <v>2900</v>
      </c>
      <c r="AJ54" s="97">
        <v>6295</v>
      </c>
      <c r="AK54" s="97">
        <v>19050</v>
      </c>
      <c r="AL54" s="97">
        <v>22050</v>
      </c>
      <c r="AM54" s="445">
        <v>86320</v>
      </c>
      <c r="AN54" s="440">
        <v>0</v>
      </c>
      <c r="AO54" s="440">
        <v>314750</v>
      </c>
      <c r="AP54" s="440">
        <v>0</v>
      </c>
      <c r="AQ54" s="446">
        <v>110250</v>
      </c>
      <c r="AR54" s="445">
        <v>511320</v>
      </c>
      <c r="AS54" s="440">
        <v>5250</v>
      </c>
      <c r="AT54" s="440">
        <v>3195.75</v>
      </c>
      <c r="AU54" s="328">
        <f>IFERROR(Tabla1[[#This Row],[CAUDAL TOTAL TRATADO GEM ]]/Tabla1[[#This Row],[CAUDAL DE TRATAMIENTO]],0)</f>
        <v>2</v>
      </c>
    </row>
    <row r="55" spans="1:47" ht="15" thickBot="1" x14ac:dyDescent="0.35">
      <c r="A55" s="564">
        <v>46071</v>
      </c>
      <c r="B55" s="96">
        <v>18</v>
      </c>
      <c r="C55" s="324" t="s">
        <v>30</v>
      </c>
      <c r="D55" s="325">
        <v>54</v>
      </c>
      <c r="E55" s="325" t="s">
        <v>76</v>
      </c>
      <c r="F55" s="441">
        <v>500</v>
      </c>
      <c r="G55" s="442">
        <v>2100</v>
      </c>
      <c r="H55" s="442">
        <v>1370</v>
      </c>
      <c r="I55" s="442">
        <v>100</v>
      </c>
      <c r="J55" s="442">
        <v>290</v>
      </c>
      <c r="K55" s="454">
        <v>17086</v>
      </c>
      <c r="L55" s="455">
        <v>480</v>
      </c>
      <c r="M55" s="330">
        <v>80</v>
      </c>
      <c r="N55" s="428">
        <v>130</v>
      </c>
      <c r="O55" s="458">
        <v>0</v>
      </c>
      <c r="P55" s="428">
        <v>80</v>
      </c>
      <c r="Q55" s="428">
        <v>0</v>
      </c>
      <c r="R55" s="429">
        <v>5</v>
      </c>
      <c r="S55" s="432">
        <v>169</v>
      </c>
      <c r="T55" s="433">
        <v>0</v>
      </c>
      <c r="U55" s="433">
        <v>100</v>
      </c>
      <c r="V55" s="447">
        <v>0</v>
      </c>
      <c r="W55" s="429">
        <v>5</v>
      </c>
      <c r="X55" s="444">
        <v>352.08333333333331</v>
      </c>
      <c r="Y55" s="447">
        <v>0</v>
      </c>
      <c r="Z55" s="447">
        <v>208.33333333333334</v>
      </c>
      <c r="AA55" s="447">
        <v>0</v>
      </c>
      <c r="AB55" s="429">
        <v>10.416666666666666</v>
      </c>
      <c r="AC55" s="434">
        <v>1.3</v>
      </c>
      <c r="AD55" s="434">
        <v>1.325</v>
      </c>
      <c r="AE55" s="434">
        <v>1.25</v>
      </c>
      <c r="AF55" s="435">
        <v>2500</v>
      </c>
      <c r="AG55" s="436">
        <v>2500</v>
      </c>
      <c r="AH55" s="97">
        <v>830</v>
      </c>
      <c r="AI55" s="97">
        <v>2900</v>
      </c>
      <c r="AJ55" s="97">
        <v>6295</v>
      </c>
      <c r="AK55" s="97">
        <v>19050</v>
      </c>
      <c r="AL55" s="97">
        <v>22050</v>
      </c>
      <c r="AM55" s="445">
        <v>140270</v>
      </c>
      <c r="AN55" s="448">
        <v>0</v>
      </c>
      <c r="AO55" s="448">
        <v>629500</v>
      </c>
      <c r="AP55" s="448">
        <v>0</v>
      </c>
      <c r="AQ55" s="449">
        <v>110250</v>
      </c>
      <c r="AR55" s="445">
        <v>880020</v>
      </c>
      <c r="AS55" s="448">
        <v>5250</v>
      </c>
      <c r="AT55" s="440">
        <v>1833.375</v>
      </c>
      <c r="AU55" s="330">
        <f>IFERROR(Tabla1[[#This Row],[CAUDAL TOTAL TRATADO GEM ]]/Tabla1[[#This Row],[CAUDAL DE TRATAMIENTO]],0)</f>
        <v>6</v>
      </c>
    </row>
    <row r="56" spans="1:47" ht="15" thickBot="1" x14ac:dyDescent="0.35">
      <c r="A56" s="143">
        <v>46072</v>
      </c>
      <c r="B56" s="96">
        <v>19</v>
      </c>
      <c r="C56" s="320" t="s">
        <v>292</v>
      </c>
      <c r="D56" s="321">
        <v>55</v>
      </c>
      <c r="E56" s="321" t="s">
        <v>75</v>
      </c>
      <c r="F56" s="430">
        <v>370</v>
      </c>
      <c r="G56" s="431">
        <v>2100</v>
      </c>
      <c r="H56" s="431">
        <v>1290</v>
      </c>
      <c r="I56" s="431">
        <v>100</v>
      </c>
      <c r="J56" s="431">
        <v>285</v>
      </c>
      <c r="K56" s="451">
        <v>17092</v>
      </c>
      <c r="L56" s="452">
        <v>320</v>
      </c>
      <c r="M56" s="329">
        <v>80</v>
      </c>
      <c r="N56" s="424">
        <v>70</v>
      </c>
      <c r="O56" s="456">
        <v>40</v>
      </c>
      <c r="P56" s="424">
        <v>70</v>
      </c>
      <c r="Q56" s="424">
        <v>5</v>
      </c>
      <c r="R56" s="425">
        <v>5</v>
      </c>
      <c r="S56" s="432">
        <v>91</v>
      </c>
      <c r="T56" s="433">
        <v>53</v>
      </c>
      <c r="U56" s="433">
        <v>87.5</v>
      </c>
      <c r="V56" s="433">
        <v>5</v>
      </c>
      <c r="W56" s="425">
        <v>5</v>
      </c>
      <c r="X56" s="432">
        <v>284.375</v>
      </c>
      <c r="Y56" s="433">
        <v>165.625</v>
      </c>
      <c r="Z56" s="433">
        <v>273.4375</v>
      </c>
      <c r="AA56" s="433">
        <v>15.625</v>
      </c>
      <c r="AB56" s="425">
        <v>15.625</v>
      </c>
      <c r="AC56" s="434">
        <v>1.3</v>
      </c>
      <c r="AD56" s="434">
        <v>1.325</v>
      </c>
      <c r="AE56" s="434">
        <v>1.25</v>
      </c>
      <c r="AF56" s="435">
        <v>2500</v>
      </c>
      <c r="AG56" s="436">
        <v>2500</v>
      </c>
      <c r="AH56" s="97">
        <v>830</v>
      </c>
      <c r="AI56" s="97">
        <v>2900</v>
      </c>
      <c r="AJ56" s="97">
        <v>6295</v>
      </c>
      <c r="AK56" s="97">
        <v>19050</v>
      </c>
      <c r="AL56" s="97">
        <v>22050</v>
      </c>
      <c r="AM56" s="437">
        <v>75530</v>
      </c>
      <c r="AN56" s="438">
        <v>153700</v>
      </c>
      <c r="AO56" s="438">
        <v>550812.5</v>
      </c>
      <c r="AP56" s="438">
        <v>95250</v>
      </c>
      <c r="AQ56" s="439">
        <v>110250</v>
      </c>
      <c r="AR56" s="437">
        <v>985542.5</v>
      </c>
      <c r="AS56" s="438">
        <v>5250</v>
      </c>
      <c r="AT56" s="440">
        <v>3079.8203125</v>
      </c>
      <c r="AU56" s="329">
        <f>IFERROR(Tabla1[[#This Row],[CAUDAL TOTAL TRATADO GEM ]]/Tabla1[[#This Row],[CAUDAL DE TRATAMIENTO]],0)</f>
        <v>4</v>
      </c>
    </row>
    <row r="57" spans="1:47" ht="15" thickBot="1" x14ac:dyDescent="0.35">
      <c r="A57" s="563">
        <v>46072</v>
      </c>
      <c r="B57" s="96">
        <v>19</v>
      </c>
      <c r="C57" s="322" t="s">
        <v>293</v>
      </c>
      <c r="D57" s="323">
        <v>56</v>
      </c>
      <c r="E57" s="323" t="s">
        <v>77</v>
      </c>
      <c r="F57" s="441">
        <v>300</v>
      </c>
      <c r="G57" s="442">
        <v>2060</v>
      </c>
      <c r="H57" s="442">
        <v>1220</v>
      </c>
      <c r="I57" s="442">
        <v>95</v>
      </c>
      <c r="J57" s="442">
        <v>280</v>
      </c>
      <c r="K57" s="453">
        <v>17096</v>
      </c>
      <c r="L57" s="450">
        <v>320</v>
      </c>
      <c r="M57" s="328">
        <v>80</v>
      </c>
      <c r="N57" s="426">
        <v>200</v>
      </c>
      <c r="O57" s="457">
        <v>160</v>
      </c>
      <c r="P57" s="426">
        <v>50</v>
      </c>
      <c r="Q57" s="426">
        <v>0</v>
      </c>
      <c r="R57" s="427">
        <v>5</v>
      </c>
      <c r="S57" s="432">
        <v>260</v>
      </c>
      <c r="T57" s="433">
        <v>212</v>
      </c>
      <c r="U57" s="433">
        <v>62.5</v>
      </c>
      <c r="V57" s="443">
        <v>0</v>
      </c>
      <c r="W57" s="427">
        <v>5</v>
      </c>
      <c r="X57" s="444">
        <v>812.5</v>
      </c>
      <c r="Y57" s="443">
        <v>662.5</v>
      </c>
      <c r="Z57" s="443">
        <v>195.3125</v>
      </c>
      <c r="AA57" s="443">
        <v>0</v>
      </c>
      <c r="AB57" s="427">
        <v>15.625</v>
      </c>
      <c r="AC57" s="434">
        <v>1.3</v>
      </c>
      <c r="AD57" s="434">
        <v>1.325</v>
      </c>
      <c r="AE57" s="434">
        <v>1.25</v>
      </c>
      <c r="AF57" s="435">
        <v>2500</v>
      </c>
      <c r="AG57" s="436">
        <v>2500</v>
      </c>
      <c r="AH57" s="97">
        <v>830</v>
      </c>
      <c r="AI57" s="97">
        <v>2900</v>
      </c>
      <c r="AJ57" s="97">
        <v>6295</v>
      </c>
      <c r="AK57" s="97">
        <v>19050</v>
      </c>
      <c r="AL57" s="97">
        <v>22050</v>
      </c>
      <c r="AM57" s="445">
        <v>215800</v>
      </c>
      <c r="AN57" s="440">
        <v>614800</v>
      </c>
      <c r="AO57" s="440">
        <v>393437.5</v>
      </c>
      <c r="AP57" s="440">
        <v>0</v>
      </c>
      <c r="AQ57" s="446">
        <v>110250</v>
      </c>
      <c r="AR57" s="445">
        <v>1334287.5</v>
      </c>
      <c r="AS57" s="440">
        <v>5250</v>
      </c>
      <c r="AT57" s="440">
        <v>4169.6484375</v>
      </c>
      <c r="AU57" s="328">
        <f>IFERROR(Tabla1[[#This Row],[CAUDAL TOTAL TRATADO GEM ]]/Tabla1[[#This Row],[CAUDAL DE TRATAMIENTO]],0)</f>
        <v>4</v>
      </c>
    </row>
    <row r="58" spans="1:47" ht="15" thickBot="1" x14ac:dyDescent="0.35">
      <c r="A58" s="564">
        <v>46072</v>
      </c>
      <c r="B58" s="96">
        <v>19</v>
      </c>
      <c r="C58" s="324" t="s">
        <v>30</v>
      </c>
      <c r="D58" s="325">
        <v>57</v>
      </c>
      <c r="E58" s="325" t="s">
        <v>76</v>
      </c>
      <c r="F58" s="441">
        <v>100</v>
      </c>
      <c r="G58" s="442">
        <v>1900</v>
      </c>
      <c r="H58" s="442">
        <v>1170</v>
      </c>
      <c r="I58" s="442">
        <v>95</v>
      </c>
      <c r="J58" s="442">
        <v>275</v>
      </c>
      <c r="K58" s="454">
        <v>17100</v>
      </c>
      <c r="L58" s="455">
        <v>560</v>
      </c>
      <c r="M58" s="330">
        <v>80</v>
      </c>
      <c r="N58" s="428">
        <v>50</v>
      </c>
      <c r="O58" s="458">
        <v>170</v>
      </c>
      <c r="P58" s="428">
        <v>20</v>
      </c>
      <c r="Q58" s="428">
        <v>0</v>
      </c>
      <c r="R58" s="429">
        <v>5</v>
      </c>
      <c r="S58" s="432">
        <v>65</v>
      </c>
      <c r="T58" s="433">
        <v>225.25</v>
      </c>
      <c r="U58" s="433">
        <v>25</v>
      </c>
      <c r="V58" s="447">
        <v>0</v>
      </c>
      <c r="W58" s="429">
        <v>5</v>
      </c>
      <c r="X58" s="444">
        <v>116.07142857142857</v>
      </c>
      <c r="Y58" s="447">
        <v>402.23214285714283</v>
      </c>
      <c r="Z58" s="447">
        <v>44.642857142857146</v>
      </c>
      <c r="AA58" s="447">
        <v>0</v>
      </c>
      <c r="AB58" s="429">
        <v>8.9285714285714288</v>
      </c>
      <c r="AC58" s="434">
        <v>1.3</v>
      </c>
      <c r="AD58" s="434">
        <v>1.325</v>
      </c>
      <c r="AE58" s="434">
        <v>1.25</v>
      </c>
      <c r="AF58" s="435">
        <v>2500</v>
      </c>
      <c r="AG58" s="436">
        <v>2500</v>
      </c>
      <c r="AH58" s="97">
        <v>830</v>
      </c>
      <c r="AI58" s="97">
        <v>2900</v>
      </c>
      <c r="AJ58" s="97">
        <v>6295</v>
      </c>
      <c r="AK58" s="97">
        <v>19050</v>
      </c>
      <c r="AL58" s="97">
        <v>22050</v>
      </c>
      <c r="AM58" s="445">
        <v>53950</v>
      </c>
      <c r="AN58" s="448">
        <v>653225</v>
      </c>
      <c r="AO58" s="448">
        <v>157375</v>
      </c>
      <c r="AP58" s="448">
        <v>0</v>
      </c>
      <c r="AQ58" s="449">
        <v>110250</v>
      </c>
      <c r="AR58" s="445">
        <v>974800</v>
      </c>
      <c r="AS58" s="448">
        <v>5250</v>
      </c>
      <c r="AT58" s="440">
        <v>1740.7142857142858</v>
      </c>
      <c r="AU58" s="330">
        <f>IFERROR(Tabla1[[#This Row],[CAUDAL TOTAL TRATADO GEM ]]/Tabla1[[#This Row],[CAUDAL DE TRATAMIENTO]],0)</f>
        <v>7</v>
      </c>
    </row>
    <row r="59" spans="1:47" ht="15" thickBot="1" x14ac:dyDescent="0.35">
      <c r="A59" s="143">
        <v>46073</v>
      </c>
      <c r="B59" s="96">
        <v>20</v>
      </c>
      <c r="C59" s="320" t="s">
        <v>294</v>
      </c>
      <c r="D59" s="321">
        <v>58</v>
      </c>
      <c r="E59" s="321" t="s">
        <v>75</v>
      </c>
      <c r="F59" s="430">
        <v>1050</v>
      </c>
      <c r="G59" s="431">
        <v>3730</v>
      </c>
      <c r="H59" s="431">
        <v>2150</v>
      </c>
      <c r="I59" s="431">
        <v>95</v>
      </c>
      <c r="J59" s="431">
        <v>270</v>
      </c>
      <c r="K59" s="451">
        <v>17107</v>
      </c>
      <c r="L59" s="452">
        <v>480</v>
      </c>
      <c r="M59" s="329">
        <v>80</v>
      </c>
      <c r="N59" s="424">
        <v>120</v>
      </c>
      <c r="O59" s="456">
        <v>140</v>
      </c>
      <c r="P59" s="424">
        <v>50</v>
      </c>
      <c r="Q59" s="424">
        <v>5</v>
      </c>
      <c r="R59" s="425">
        <v>5</v>
      </c>
      <c r="S59" s="432">
        <v>156</v>
      </c>
      <c r="T59" s="433">
        <v>185.5</v>
      </c>
      <c r="U59" s="433">
        <v>62.5</v>
      </c>
      <c r="V59" s="433">
        <v>5</v>
      </c>
      <c r="W59" s="425">
        <v>5</v>
      </c>
      <c r="X59" s="432">
        <v>325</v>
      </c>
      <c r="Y59" s="433">
        <v>386.45833333333331</v>
      </c>
      <c r="Z59" s="433">
        <v>130.20833333333334</v>
      </c>
      <c r="AA59" s="433">
        <v>10.416666666666666</v>
      </c>
      <c r="AB59" s="425">
        <v>10.416666666666666</v>
      </c>
      <c r="AC59" s="434">
        <v>1.3</v>
      </c>
      <c r="AD59" s="434">
        <v>1.325</v>
      </c>
      <c r="AE59" s="434">
        <v>1.25</v>
      </c>
      <c r="AF59" s="435">
        <v>2500</v>
      </c>
      <c r="AG59" s="436">
        <v>2500</v>
      </c>
      <c r="AH59" s="97">
        <v>830</v>
      </c>
      <c r="AI59" s="97">
        <v>2900</v>
      </c>
      <c r="AJ59" s="97">
        <v>6295</v>
      </c>
      <c r="AK59" s="97">
        <v>19050</v>
      </c>
      <c r="AL59" s="97">
        <v>22050</v>
      </c>
      <c r="AM59" s="437">
        <v>129480</v>
      </c>
      <c r="AN59" s="438">
        <v>537950</v>
      </c>
      <c r="AO59" s="438">
        <v>393437.5</v>
      </c>
      <c r="AP59" s="438">
        <v>95250</v>
      </c>
      <c r="AQ59" s="439">
        <v>110250</v>
      </c>
      <c r="AR59" s="437">
        <v>1266367.5</v>
      </c>
      <c r="AS59" s="438">
        <v>5250</v>
      </c>
      <c r="AT59" s="440">
        <v>2638.265625</v>
      </c>
      <c r="AU59" s="329">
        <f>IFERROR(Tabla1[[#This Row],[CAUDAL TOTAL TRATADO GEM ]]/Tabla1[[#This Row],[CAUDAL DE TRATAMIENTO]],0)</f>
        <v>6</v>
      </c>
    </row>
    <row r="60" spans="1:47" ht="15" thickBot="1" x14ac:dyDescent="0.35">
      <c r="A60" s="563">
        <v>46073</v>
      </c>
      <c r="B60" s="96">
        <v>20</v>
      </c>
      <c r="C60" s="322" t="s">
        <v>295</v>
      </c>
      <c r="D60" s="323">
        <v>59</v>
      </c>
      <c r="E60" s="323" t="s">
        <v>77</v>
      </c>
      <c r="F60" s="441">
        <v>930</v>
      </c>
      <c r="G60" s="442">
        <v>3590</v>
      </c>
      <c r="H60" s="442">
        <v>2100</v>
      </c>
      <c r="I60" s="442">
        <v>90</v>
      </c>
      <c r="J60" s="442">
        <v>265</v>
      </c>
      <c r="K60" s="453">
        <v>17113</v>
      </c>
      <c r="L60" s="450">
        <v>400</v>
      </c>
      <c r="M60" s="328">
        <v>80</v>
      </c>
      <c r="N60" s="426">
        <v>130</v>
      </c>
      <c r="O60" s="457">
        <v>90</v>
      </c>
      <c r="P60" s="426">
        <v>20</v>
      </c>
      <c r="Q60" s="426">
        <v>0</v>
      </c>
      <c r="R60" s="427">
        <v>5</v>
      </c>
      <c r="S60" s="432">
        <v>169</v>
      </c>
      <c r="T60" s="433">
        <v>119.25</v>
      </c>
      <c r="U60" s="433">
        <v>25</v>
      </c>
      <c r="V60" s="443">
        <v>0</v>
      </c>
      <c r="W60" s="427">
        <v>5</v>
      </c>
      <c r="X60" s="444">
        <v>422.5</v>
      </c>
      <c r="Y60" s="443">
        <v>298.125</v>
      </c>
      <c r="Z60" s="443">
        <v>62.5</v>
      </c>
      <c r="AA60" s="443">
        <v>0</v>
      </c>
      <c r="AB60" s="427">
        <v>12.5</v>
      </c>
      <c r="AC60" s="434">
        <v>1.3</v>
      </c>
      <c r="AD60" s="434">
        <v>1.325</v>
      </c>
      <c r="AE60" s="434">
        <v>1.25</v>
      </c>
      <c r="AF60" s="435">
        <v>2500</v>
      </c>
      <c r="AG60" s="436">
        <v>2500</v>
      </c>
      <c r="AH60" s="97">
        <v>830</v>
      </c>
      <c r="AI60" s="97">
        <v>2900</v>
      </c>
      <c r="AJ60" s="97">
        <v>6295</v>
      </c>
      <c r="AK60" s="97">
        <v>19050</v>
      </c>
      <c r="AL60" s="97">
        <v>22050</v>
      </c>
      <c r="AM60" s="445">
        <v>140270</v>
      </c>
      <c r="AN60" s="440">
        <v>345825</v>
      </c>
      <c r="AO60" s="440">
        <v>157375</v>
      </c>
      <c r="AP60" s="440">
        <v>0</v>
      </c>
      <c r="AQ60" s="446">
        <v>110250</v>
      </c>
      <c r="AR60" s="445">
        <v>753720</v>
      </c>
      <c r="AS60" s="440">
        <v>5250</v>
      </c>
      <c r="AT60" s="440">
        <v>1884.3</v>
      </c>
      <c r="AU60" s="328">
        <f>IFERROR(Tabla1[[#This Row],[CAUDAL TOTAL TRATADO GEM ]]/Tabla1[[#This Row],[CAUDAL DE TRATAMIENTO]],0)</f>
        <v>5</v>
      </c>
    </row>
    <row r="61" spans="1:47" ht="15" thickBot="1" x14ac:dyDescent="0.35">
      <c r="A61" s="564">
        <v>46073</v>
      </c>
      <c r="B61" s="96">
        <v>20</v>
      </c>
      <c r="C61" s="324" t="s">
        <v>30</v>
      </c>
      <c r="D61" s="325">
        <v>60</v>
      </c>
      <c r="E61" s="325" t="s">
        <v>76</v>
      </c>
      <c r="F61" s="441">
        <v>800</v>
      </c>
      <c r="G61" s="442">
        <v>3500</v>
      </c>
      <c r="H61" s="442">
        <v>2080</v>
      </c>
      <c r="I61" s="442">
        <v>90</v>
      </c>
      <c r="J61" s="442">
        <v>260</v>
      </c>
      <c r="K61" s="454">
        <v>17118</v>
      </c>
      <c r="L61" s="455">
        <v>480</v>
      </c>
      <c r="M61" s="330">
        <v>80</v>
      </c>
      <c r="N61" s="428">
        <v>0</v>
      </c>
      <c r="O61" s="458">
        <v>150</v>
      </c>
      <c r="P61" s="428">
        <v>40</v>
      </c>
      <c r="Q61" s="428">
        <v>0</v>
      </c>
      <c r="R61" s="429">
        <v>5</v>
      </c>
      <c r="S61" s="432">
        <v>0</v>
      </c>
      <c r="T61" s="433">
        <v>198.75</v>
      </c>
      <c r="U61" s="433">
        <v>50</v>
      </c>
      <c r="V61" s="447">
        <v>0</v>
      </c>
      <c r="W61" s="429">
        <v>5</v>
      </c>
      <c r="X61" s="444">
        <v>0</v>
      </c>
      <c r="Y61" s="447">
        <v>414.0625</v>
      </c>
      <c r="Z61" s="447">
        <v>104.16666666666667</v>
      </c>
      <c r="AA61" s="447">
        <v>0</v>
      </c>
      <c r="AB61" s="429">
        <v>10.416666666666666</v>
      </c>
      <c r="AC61" s="434">
        <v>1.3</v>
      </c>
      <c r="AD61" s="434">
        <v>1.325</v>
      </c>
      <c r="AE61" s="434">
        <v>1.25</v>
      </c>
      <c r="AF61" s="435">
        <v>2500</v>
      </c>
      <c r="AG61" s="436">
        <v>2500</v>
      </c>
      <c r="AH61" s="97">
        <v>830</v>
      </c>
      <c r="AI61" s="97">
        <v>2900</v>
      </c>
      <c r="AJ61" s="97">
        <v>6295</v>
      </c>
      <c r="AK61" s="97">
        <v>19050</v>
      </c>
      <c r="AL61" s="97">
        <v>22050</v>
      </c>
      <c r="AM61" s="445">
        <v>0</v>
      </c>
      <c r="AN61" s="448">
        <v>576375</v>
      </c>
      <c r="AO61" s="448">
        <v>314750</v>
      </c>
      <c r="AP61" s="448">
        <v>0</v>
      </c>
      <c r="AQ61" s="449">
        <v>110250</v>
      </c>
      <c r="AR61" s="445">
        <v>1001375</v>
      </c>
      <c r="AS61" s="448">
        <v>5250</v>
      </c>
      <c r="AT61" s="440">
        <v>2086.1979166666665</v>
      </c>
      <c r="AU61" s="330">
        <f>IFERROR(Tabla1[[#This Row],[CAUDAL TOTAL TRATADO GEM ]]/Tabla1[[#This Row],[CAUDAL DE TRATAMIENTO]],0)</f>
        <v>6</v>
      </c>
    </row>
    <row r="62" spans="1:47" s="349" customFormat="1" ht="15" thickBot="1" x14ac:dyDescent="0.35">
      <c r="A62" s="143">
        <v>46074</v>
      </c>
      <c r="B62" s="346">
        <v>21</v>
      </c>
      <c r="C62" s="347" t="s">
        <v>296</v>
      </c>
      <c r="D62" s="348">
        <v>61</v>
      </c>
      <c r="E62" s="348" t="s">
        <v>75</v>
      </c>
      <c r="F62" s="430">
        <v>800</v>
      </c>
      <c r="G62" s="431">
        <v>3350</v>
      </c>
      <c r="H62" s="431">
        <v>2040</v>
      </c>
      <c r="I62" s="431">
        <v>90</v>
      </c>
      <c r="J62" s="431">
        <v>255</v>
      </c>
      <c r="K62" s="451">
        <v>17124</v>
      </c>
      <c r="L62" s="452">
        <v>400</v>
      </c>
      <c r="M62" s="329">
        <v>80</v>
      </c>
      <c r="N62" s="424">
        <v>150</v>
      </c>
      <c r="O62" s="456">
        <v>300</v>
      </c>
      <c r="P62" s="424">
        <v>40</v>
      </c>
      <c r="Q62" s="424">
        <v>5</v>
      </c>
      <c r="R62" s="425">
        <v>5</v>
      </c>
      <c r="S62" s="432">
        <v>195</v>
      </c>
      <c r="T62" s="433">
        <v>397.5</v>
      </c>
      <c r="U62" s="433">
        <v>50</v>
      </c>
      <c r="V62" s="433">
        <v>5</v>
      </c>
      <c r="W62" s="425">
        <v>5</v>
      </c>
      <c r="X62" s="432">
        <v>487.5</v>
      </c>
      <c r="Y62" s="433">
        <v>993.75</v>
      </c>
      <c r="Z62" s="433">
        <v>125</v>
      </c>
      <c r="AA62" s="433">
        <v>12.5</v>
      </c>
      <c r="AB62" s="425">
        <v>12.5</v>
      </c>
      <c r="AC62" s="434">
        <v>1.3</v>
      </c>
      <c r="AD62" s="434">
        <v>1.325</v>
      </c>
      <c r="AE62" s="434">
        <v>1.25</v>
      </c>
      <c r="AF62" s="435">
        <v>2500</v>
      </c>
      <c r="AG62" s="436">
        <v>2500</v>
      </c>
      <c r="AH62" s="97">
        <v>830</v>
      </c>
      <c r="AI62" s="97">
        <v>2900</v>
      </c>
      <c r="AJ62" s="97">
        <v>6295</v>
      </c>
      <c r="AK62" s="97">
        <v>19050</v>
      </c>
      <c r="AL62" s="97">
        <v>22050</v>
      </c>
      <c r="AM62" s="437">
        <v>161850</v>
      </c>
      <c r="AN62" s="438">
        <v>1152750</v>
      </c>
      <c r="AO62" s="438">
        <v>314750</v>
      </c>
      <c r="AP62" s="438">
        <v>95250</v>
      </c>
      <c r="AQ62" s="439">
        <v>110250</v>
      </c>
      <c r="AR62" s="437">
        <v>1834850</v>
      </c>
      <c r="AS62" s="438">
        <v>5250</v>
      </c>
      <c r="AT62" s="440">
        <v>4587.125</v>
      </c>
      <c r="AU62" s="329">
        <f>IFERROR(Tabla1[[#This Row],[CAUDAL TOTAL TRATADO GEM ]]/Tabla1[[#This Row],[CAUDAL DE TRATAMIENTO]],0)</f>
        <v>5</v>
      </c>
    </row>
    <row r="63" spans="1:47" s="349" customFormat="1" ht="15" thickBot="1" x14ac:dyDescent="0.35">
      <c r="A63" s="563">
        <v>46074</v>
      </c>
      <c r="B63" s="346">
        <v>21</v>
      </c>
      <c r="C63" s="350" t="s">
        <v>297</v>
      </c>
      <c r="D63" s="351">
        <v>62</v>
      </c>
      <c r="E63" s="351" t="s">
        <v>77</v>
      </c>
      <c r="F63" s="441">
        <v>650</v>
      </c>
      <c r="G63" s="442">
        <v>3050</v>
      </c>
      <c r="H63" s="442">
        <v>2000</v>
      </c>
      <c r="I63" s="442">
        <v>85</v>
      </c>
      <c r="J63" s="442">
        <v>250</v>
      </c>
      <c r="K63" s="453">
        <v>17129</v>
      </c>
      <c r="L63" s="450">
        <v>160</v>
      </c>
      <c r="M63" s="328">
        <v>80</v>
      </c>
      <c r="N63" s="426">
        <v>50</v>
      </c>
      <c r="O63" s="457">
        <v>50</v>
      </c>
      <c r="P63" s="426">
        <v>50</v>
      </c>
      <c r="Q63" s="426">
        <v>0</v>
      </c>
      <c r="R63" s="427">
        <v>5</v>
      </c>
      <c r="S63" s="432">
        <v>65</v>
      </c>
      <c r="T63" s="433">
        <v>66.25</v>
      </c>
      <c r="U63" s="433">
        <v>62.5</v>
      </c>
      <c r="V63" s="443">
        <v>0</v>
      </c>
      <c r="W63" s="427">
        <v>5</v>
      </c>
      <c r="X63" s="444">
        <v>406.25</v>
      </c>
      <c r="Y63" s="443">
        <v>414.0625</v>
      </c>
      <c r="Z63" s="443">
        <v>390.625</v>
      </c>
      <c r="AA63" s="443">
        <v>0</v>
      </c>
      <c r="AB63" s="427">
        <v>31.25</v>
      </c>
      <c r="AC63" s="434">
        <v>1.3</v>
      </c>
      <c r="AD63" s="434">
        <v>1.325</v>
      </c>
      <c r="AE63" s="434">
        <v>1.25</v>
      </c>
      <c r="AF63" s="435">
        <v>2500</v>
      </c>
      <c r="AG63" s="436">
        <v>2500</v>
      </c>
      <c r="AH63" s="97">
        <v>830</v>
      </c>
      <c r="AI63" s="97">
        <v>2900</v>
      </c>
      <c r="AJ63" s="97">
        <v>6295</v>
      </c>
      <c r="AK63" s="97">
        <v>19050</v>
      </c>
      <c r="AL63" s="97">
        <v>22050</v>
      </c>
      <c r="AM63" s="445">
        <v>53950</v>
      </c>
      <c r="AN63" s="440">
        <v>192125</v>
      </c>
      <c r="AO63" s="440">
        <v>393437.5</v>
      </c>
      <c r="AP63" s="440">
        <v>0</v>
      </c>
      <c r="AQ63" s="446">
        <v>110250</v>
      </c>
      <c r="AR63" s="445">
        <v>749762.5</v>
      </c>
      <c r="AS63" s="440">
        <v>5250</v>
      </c>
      <c r="AT63" s="440">
        <v>4686.015625</v>
      </c>
      <c r="AU63" s="328">
        <f>IFERROR(Tabla1[[#This Row],[CAUDAL TOTAL TRATADO GEM ]]/Tabla1[[#This Row],[CAUDAL DE TRATAMIENTO]],0)</f>
        <v>2</v>
      </c>
    </row>
    <row r="64" spans="1:47" s="349" customFormat="1" ht="15" thickBot="1" x14ac:dyDescent="0.35">
      <c r="A64" s="564">
        <v>46074</v>
      </c>
      <c r="B64" s="346">
        <v>21</v>
      </c>
      <c r="C64" s="352" t="s">
        <v>30</v>
      </c>
      <c r="D64" s="353">
        <v>63</v>
      </c>
      <c r="E64" s="353" t="s">
        <v>76</v>
      </c>
      <c r="F64" s="441">
        <v>600</v>
      </c>
      <c r="G64" s="442">
        <v>3000</v>
      </c>
      <c r="H64" s="442">
        <v>1950</v>
      </c>
      <c r="I64" s="442">
        <v>85</v>
      </c>
      <c r="J64" s="442">
        <v>245</v>
      </c>
      <c r="K64" s="454">
        <v>17131</v>
      </c>
      <c r="L64" s="455">
        <v>320</v>
      </c>
      <c r="M64" s="330">
        <v>80</v>
      </c>
      <c r="N64" s="428">
        <v>80</v>
      </c>
      <c r="O64" s="458">
        <v>150</v>
      </c>
      <c r="P64" s="428">
        <v>40</v>
      </c>
      <c r="Q64" s="428">
        <v>0</v>
      </c>
      <c r="R64" s="429">
        <v>5</v>
      </c>
      <c r="S64" s="432">
        <v>104</v>
      </c>
      <c r="T64" s="433">
        <v>198.75</v>
      </c>
      <c r="U64" s="433">
        <v>50</v>
      </c>
      <c r="V64" s="447">
        <v>0</v>
      </c>
      <c r="W64" s="429">
        <v>5</v>
      </c>
      <c r="X64" s="444">
        <v>325</v>
      </c>
      <c r="Y64" s="447">
        <v>621.09375</v>
      </c>
      <c r="Z64" s="447">
        <v>156.25</v>
      </c>
      <c r="AA64" s="447">
        <v>0</v>
      </c>
      <c r="AB64" s="429">
        <v>15.625</v>
      </c>
      <c r="AC64" s="434">
        <v>1.3</v>
      </c>
      <c r="AD64" s="434">
        <v>1.325</v>
      </c>
      <c r="AE64" s="434">
        <v>1.25</v>
      </c>
      <c r="AF64" s="435">
        <v>2500</v>
      </c>
      <c r="AG64" s="436">
        <v>2500</v>
      </c>
      <c r="AH64" s="97">
        <v>830</v>
      </c>
      <c r="AI64" s="97">
        <v>2900</v>
      </c>
      <c r="AJ64" s="97">
        <v>6295</v>
      </c>
      <c r="AK64" s="97">
        <v>19050</v>
      </c>
      <c r="AL64" s="97">
        <v>22050</v>
      </c>
      <c r="AM64" s="445">
        <v>86320</v>
      </c>
      <c r="AN64" s="448">
        <v>576375</v>
      </c>
      <c r="AO64" s="448">
        <v>314750</v>
      </c>
      <c r="AP64" s="448">
        <v>0</v>
      </c>
      <c r="AQ64" s="449">
        <v>110250</v>
      </c>
      <c r="AR64" s="445">
        <v>1087695</v>
      </c>
      <c r="AS64" s="448">
        <v>5250</v>
      </c>
      <c r="AT64" s="440">
        <v>3399.046875</v>
      </c>
      <c r="AU64" s="330">
        <f>IFERROR(Tabla1[[#This Row],[CAUDAL TOTAL TRATADO GEM ]]/Tabla1[[#This Row],[CAUDAL DE TRATAMIENTO]],0)</f>
        <v>4</v>
      </c>
    </row>
    <row r="65" spans="1:47" ht="15" thickBot="1" x14ac:dyDescent="0.35">
      <c r="A65" s="143">
        <v>46075</v>
      </c>
      <c r="B65" s="96">
        <v>22</v>
      </c>
      <c r="C65" s="320" t="s">
        <v>298</v>
      </c>
      <c r="D65" s="321">
        <v>64</v>
      </c>
      <c r="E65" s="321" t="s">
        <v>75</v>
      </c>
      <c r="F65" s="430">
        <v>520</v>
      </c>
      <c r="G65" s="431">
        <v>2850</v>
      </c>
      <c r="H65" s="431">
        <v>1910</v>
      </c>
      <c r="I65" s="431">
        <v>85</v>
      </c>
      <c r="J65" s="431">
        <v>240</v>
      </c>
      <c r="K65" s="451">
        <v>17135</v>
      </c>
      <c r="L65" s="452">
        <v>0</v>
      </c>
      <c r="M65" s="329">
        <v>80</v>
      </c>
      <c r="N65" s="424">
        <v>0</v>
      </c>
      <c r="O65" s="456">
        <v>0</v>
      </c>
      <c r="P65" s="424">
        <v>0</v>
      </c>
      <c r="Q65" s="424">
        <v>0</v>
      </c>
      <c r="R65" s="425">
        <v>0</v>
      </c>
      <c r="S65" s="432">
        <v>0</v>
      </c>
      <c r="T65" s="433">
        <v>0</v>
      </c>
      <c r="U65" s="433">
        <v>0</v>
      </c>
      <c r="V65" s="433">
        <v>0</v>
      </c>
      <c r="W65" s="425">
        <v>0</v>
      </c>
      <c r="X65" s="432" t="e">
        <v>#DIV/0!</v>
      </c>
      <c r="Y65" s="433" t="e">
        <v>#DIV/0!</v>
      </c>
      <c r="Z65" s="433" t="e">
        <v>#DIV/0!</v>
      </c>
      <c r="AA65" s="433" t="e">
        <v>#DIV/0!</v>
      </c>
      <c r="AB65" s="425" t="e">
        <v>#DIV/0!</v>
      </c>
      <c r="AC65" s="434">
        <v>1.3</v>
      </c>
      <c r="AD65" s="434">
        <v>1.325</v>
      </c>
      <c r="AE65" s="434">
        <v>1.25</v>
      </c>
      <c r="AF65" s="435">
        <v>2500</v>
      </c>
      <c r="AG65" s="436">
        <v>2500</v>
      </c>
      <c r="AH65" s="97">
        <v>830</v>
      </c>
      <c r="AI65" s="97">
        <v>2900</v>
      </c>
      <c r="AJ65" s="97">
        <v>6295</v>
      </c>
      <c r="AK65" s="97">
        <v>19050</v>
      </c>
      <c r="AL65" s="97">
        <v>22050</v>
      </c>
      <c r="AM65" s="437">
        <v>0</v>
      </c>
      <c r="AN65" s="438">
        <v>0</v>
      </c>
      <c r="AO65" s="438">
        <v>0</v>
      </c>
      <c r="AP65" s="438">
        <v>0</v>
      </c>
      <c r="AQ65" s="439">
        <v>0</v>
      </c>
      <c r="AR65" s="437">
        <v>0</v>
      </c>
      <c r="AS65" s="438">
        <v>5250</v>
      </c>
      <c r="AT65" s="440" t="e">
        <v>#DIV/0!</v>
      </c>
      <c r="AU65" s="329">
        <f>IFERROR(Tabla1[[#This Row],[CAUDAL TOTAL TRATADO GEM ]]/Tabla1[[#This Row],[CAUDAL DE TRATAMIENTO]],0)</f>
        <v>0</v>
      </c>
    </row>
    <row r="66" spans="1:47" ht="15" thickBot="1" x14ac:dyDescent="0.35">
      <c r="A66" s="563">
        <v>46075</v>
      </c>
      <c r="B66" s="96">
        <v>22</v>
      </c>
      <c r="C66" s="322" t="s">
        <v>299</v>
      </c>
      <c r="D66" s="323">
        <v>65</v>
      </c>
      <c r="E66" s="323" t="s">
        <v>77</v>
      </c>
      <c r="F66" s="441">
        <v>520</v>
      </c>
      <c r="G66" s="442">
        <v>2850</v>
      </c>
      <c r="H66" s="442">
        <v>1910</v>
      </c>
      <c r="I66" s="442">
        <v>85</v>
      </c>
      <c r="J66" s="442">
        <v>240</v>
      </c>
      <c r="K66" s="453">
        <v>17135</v>
      </c>
      <c r="L66" s="450">
        <v>0</v>
      </c>
      <c r="M66" s="328">
        <v>80</v>
      </c>
      <c r="N66" s="426">
        <v>0</v>
      </c>
      <c r="O66" s="457">
        <v>0</v>
      </c>
      <c r="P66" s="426">
        <v>0</v>
      </c>
      <c r="Q66" s="426">
        <v>0</v>
      </c>
      <c r="R66" s="427">
        <v>0</v>
      </c>
      <c r="S66" s="432">
        <v>0</v>
      </c>
      <c r="T66" s="433">
        <v>0</v>
      </c>
      <c r="U66" s="433">
        <v>0</v>
      </c>
      <c r="V66" s="443">
        <v>0</v>
      </c>
      <c r="W66" s="427">
        <v>0</v>
      </c>
      <c r="X66" s="444" t="e">
        <v>#DIV/0!</v>
      </c>
      <c r="Y66" s="443" t="e">
        <v>#DIV/0!</v>
      </c>
      <c r="Z66" s="443" t="e">
        <v>#DIV/0!</v>
      </c>
      <c r="AA66" s="443" t="e">
        <v>#DIV/0!</v>
      </c>
      <c r="AB66" s="427" t="e">
        <v>#DIV/0!</v>
      </c>
      <c r="AC66" s="434">
        <v>1.3</v>
      </c>
      <c r="AD66" s="434">
        <v>1.325</v>
      </c>
      <c r="AE66" s="434">
        <v>1.25</v>
      </c>
      <c r="AF66" s="435">
        <v>2500</v>
      </c>
      <c r="AG66" s="436">
        <v>2500</v>
      </c>
      <c r="AH66" s="97">
        <v>830</v>
      </c>
      <c r="AI66" s="97">
        <v>2900</v>
      </c>
      <c r="AJ66" s="97">
        <v>6295</v>
      </c>
      <c r="AK66" s="97">
        <v>19050</v>
      </c>
      <c r="AL66" s="97">
        <v>22050</v>
      </c>
      <c r="AM66" s="445">
        <v>0</v>
      </c>
      <c r="AN66" s="440">
        <v>0</v>
      </c>
      <c r="AO66" s="440">
        <v>0</v>
      </c>
      <c r="AP66" s="440">
        <v>0</v>
      </c>
      <c r="AQ66" s="446">
        <v>0</v>
      </c>
      <c r="AR66" s="445">
        <v>0</v>
      </c>
      <c r="AS66" s="440">
        <v>5250</v>
      </c>
      <c r="AT66" s="440" t="e">
        <v>#DIV/0!</v>
      </c>
      <c r="AU66" s="328">
        <f>IFERROR(Tabla1[[#This Row],[CAUDAL TOTAL TRATADO GEM ]]/Tabla1[[#This Row],[CAUDAL DE TRATAMIENTO]],0)</f>
        <v>0</v>
      </c>
    </row>
    <row r="67" spans="1:47" ht="15" thickBot="1" x14ac:dyDescent="0.35">
      <c r="A67" s="564">
        <v>46075</v>
      </c>
      <c r="B67" s="96">
        <v>22</v>
      </c>
      <c r="C67" s="324" t="s">
        <v>30</v>
      </c>
      <c r="D67" s="325">
        <v>66</v>
      </c>
      <c r="E67" s="325" t="s">
        <v>76</v>
      </c>
      <c r="F67" s="441">
        <v>520</v>
      </c>
      <c r="G67" s="442">
        <v>2850</v>
      </c>
      <c r="H67" s="442">
        <v>1910</v>
      </c>
      <c r="I67" s="442">
        <v>85</v>
      </c>
      <c r="J67" s="442">
        <v>240</v>
      </c>
      <c r="K67" s="454">
        <v>17135</v>
      </c>
      <c r="L67" s="455">
        <v>0</v>
      </c>
      <c r="M67" s="330">
        <v>80</v>
      </c>
      <c r="N67" s="428">
        <v>0</v>
      </c>
      <c r="O67" s="458">
        <v>160</v>
      </c>
      <c r="P67" s="428">
        <v>0</v>
      </c>
      <c r="Q67" s="428">
        <v>0</v>
      </c>
      <c r="R67" s="429">
        <v>0</v>
      </c>
      <c r="S67" s="432">
        <v>0</v>
      </c>
      <c r="T67" s="433">
        <v>212</v>
      </c>
      <c r="U67" s="433">
        <v>0</v>
      </c>
      <c r="V67" s="447">
        <v>0</v>
      </c>
      <c r="W67" s="429">
        <v>0</v>
      </c>
      <c r="X67" s="444" t="e">
        <v>#DIV/0!</v>
      </c>
      <c r="Y67" s="447" t="e">
        <v>#DIV/0!</v>
      </c>
      <c r="Z67" s="447" t="e">
        <v>#DIV/0!</v>
      </c>
      <c r="AA67" s="447" t="e">
        <v>#DIV/0!</v>
      </c>
      <c r="AB67" s="429" t="e">
        <v>#DIV/0!</v>
      </c>
      <c r="AC67" s="434">
        <v>1.3</v>
      </c>
      <c r="AD67" s="434">
        <v>1.325</v>
      </c>
      <c r="AE67" s="434">
        <v>1.25</v>
      </c>
      <c r="AF67" s="435">
        <v>2500</v>
      </c>
      <c r="AG67" s="436">
        <v>2500</v>
      </c>
      <c r="AH67" s="97">
        <v>830</v>
      </c>
      <c r="AI67" s="97">
        <v>2900</v>
      </c>
      <c r="AJ67" s="97">
        <v>6295</v>
      </c>
      <c r="AK67" s="97">
        <v>19050</v>
      </c>
      <c r="AL67" s="97">
        <v>22050</v>
      </c>
      <c r="AM67" s="445">
        <v>0</v>
      </c>
      <c r="AN67" s="448">
        <v>614800</v>
      </c>
      <c r="AO67" s="448">
        <v>0</v>
      </c>
      <c r="AP67" s="448">
        <v>0</v>
      </c>
      <c r="AQ67" s="449">
        <v>0</v>
      </c>
      <c r="AR67" s="445">
        <v>614800</v>
      </c>
      <c r="AS67" s="448">
        <v>5250</v>
      </c>
      <c r="AT67" s="440" t="e">
        <v>#DIV/0!</v>
      </c>
      <c r="AU67" s="330">
        <f>IFERROR(Tabla1[[#This Row],[CAUDAL TOTAL TRATADO GEM ]]/Tabla1[[#This Row],[CAUDAL DE TRATAMIENTO]],0)</f>
        <v>0</v>
      </c>
    </row>
    <row r="68" spans="1:47" ht="15" thickBot="1" x14ac:dyDescent="0.35">
      <c r="A68" s="143">
        <v>46076</v>
      </c>
      <c r="B68" s="96">
        <v>23</v>
      </c>
      <c r="C68" s="320" t="s">
        <v>300</v>
      </c>
      <c r="D68" s="321">
        <v>67</v>
      </c>
      <c r="E68" s="321" t="s">
        <v>75</v>
      </c>
      <c r="F68" s="430">
        <v>520</v>
      </c>
      <c r="G68" s="431">
        <v>2690</v>
      </c>
      <c r="H68" s="431">
        <v>1910</v>
      </c>
      <c r="I68" s="431">
        <v>85</v>
      </c>
      <c r="J68" s="431">
        <v>240</v>
      </c>
      <c r="K68" s="451">
        <v>17135</v>
      </c>
      <c r="L68" s="452">
        <v>240</v>
      </c>
      <c r="M68" s="329">
        <v>80</v>
      </c>
      <c r="N68" s="424">
        <v>0</v>
      </c>
      <c r="O68" s="456">
        <v>290</v>
      </c>
      <c r="P68" s="424">
        <v>10</v>
      </c>
      <c r="Q68" s="424">
        <v>5</v>
      </c>
      <c r="R68" s="425">
        <v>5</v>
      </c>
      <c r="S68" s="432">
        <v>0</v>
      </c>
      <c r="T68" s="433">
        <v>384.25</v>
      </c>
      <c r="U68" s="433">
        <v>12.5</v>
      </c>
      <c r="V68" s="433">
        <v>5</v>
      </c>
      <c r="W68" s="425">
        <v>5</v>
      </c>
      <c r="X68" s="432">
        <v>0</v>
      </c>
      <c r="Y68" s="433">
        <v>1601.0416666666667</v>
      </c>
      <c r="Z68" s="433">
        <v>52.083333333333336</v>
      </c>
      <c r="AA68" s="433">
        <v>20.833333333333332</v>
      </c>
      <c r="AB68" s="425">
        <v>20.833333333333332</v>
      </c>
      <c r="AC68" s="434">
        <v>1.3</v>
      </c>
      <c r="AD68" s="434">
        <v>1.325</v>
      </c>
      <c r="AE68" s="434">
        <v>1.25</v>
      </c>
      <c r="AF68" s="435">
        <v>2500</v>
      </c>
      <c r="AG68" s="436">
        <v>2500</v>
      </c>
      <c r="AH68" s="97">
        <v>830</v>
      </c>
      <c r="AI68" s="97">
        <v>2900</v>
      </c>
      <c r="AJ68" s="97">
        <v>6295</v>
      </c>
      <c r="AK68" s="97">
        <v>19050</v>
      </c>
      <c r="AL68" s="97">
        <v>22050</v>
      </c>
      <c r="AM68" s="437">
        <v>0</v>
      </c>
      <c r="AN68" s="438">
        <v>1114325</v>
      </c>
      <c r="AO68" s="438">
        <v>78687.5</v>
      </c>
      <c r="AP68" s="438">
        <v>95250</v>
      </c>
      <c r="AQ68" s="439">
        <v>110250</v>
      </c>
      <c r="AR68" s="437">
        <v>1398512.5</v>
      </c>
      <c r="AS68" s="438">
        <v>5250</v>
      </c>
      <c r="AT68" s="440">
        <v>5827.135416666667</v>
      </c>
      <c r="AU68" s="329">
        <f>IFERROR(Tabla1[[#This Row],[CAUDAL TOTAL TRATADO GEM ]]/Tabla1[[#This Row],[CAUDAL DE TRATAMIENTO]],0)</f>
        <v>3</v>
      </c>
    </row>
    <row r="69" spans="1:47" ht="15" thickBot="1" x14ac:dyDescent="0.35">
      <c r="A69" s="563">
        <v>46076</v>
      </c>
      <c r="B69" s="96">
        <v>23</v>
      </c>
      <c r="C69" s="322" t="s">
        <v>301</v>
      </c>
      <c r="D69" s="323">
        <v>68</v>
      </c>
      <c r="E69" s="323" t="s">
        <v>77</v>
      </c>
      <c r="F69" s="441">
        <v>520</v>
      </c>
      <c r="G69" s="442">
        <v>4400</v>
      </c>
      <c r="H69" s="442">
        <v>1900</v>
      </c>
      <c r="I69" s="442">
        <v>80</v>
      </c>
      <c r="J69" s="442">
        <v>235</v>
      </c>
      <c r="K69" s="453">
        <v>17138</v>
      </c>
      <c r="L69" s="450">
        <v>0</v>
      </c>
      <c r="M69" s="328">
        <v>80</v>
      </c>
      <c r="N69" s="426">
        <v>420</v>
      </c>
      <c r="O69" s="457">
        <v>100</v>
      </c>
      <c r="P69" s="426">
        <v>90</v>
      </c>
      <c r="Q69" s="426">
        <v>0</v>
      </c>
      <c r="R69" s="427">
        <v>5</v>
      </c>
      <c r="S69" s="432">
        <v>546</v>
      </c>
      <c r="T69" s="433">
        <v>132.5</v>
      </c>
      <c r="U69" s="433">
        <v>112.5</v>
      </c>
      <c r="V69" s="443">
        <v>0</v>
      </c>
      <c r="W69" s="427">
        <v>5</v>
      </c>
      <c r="X69" s="444" t="e">
        <v>#DIV/0!</v>
      </c>
      <c r="Y69" s="443" t="e">
        <v>#DIV/0!</v>
      </c>
      <c r="Z69" s="443" t="e">
        <v>#DIV/0!</v>
      </c>
      <c r="AA69" s="443" t="e">
        <v>#DIV/0!</v>
      </c>
      <c r="AB69" s="427" t="e">
        <v>#DIV/0!</v>
      </c>
      <c r="AC69" s="434">
        <v>1.3</v>
      </c>
      <c r="AD69" s="434">
        <v>1.325</v>
      </c>
      <c r="AE69" s="434">
        <v>1.25</v>
      </c>
      <c r="AF69" s="435">
        <v>2500</v>
      </c>
      <c r="AG69" s="436">
        <v>2500</v>
      </c>
      <c r="AH69" s="97">
        <v>830</v>
      </c>
      <c r="AI69" s="97">
        <v>2900</v>
      </c>
      <c r="AJ69" s="97">
        <v>6295</v>
      </c>
      <c r="AK69" s="97">
        <v>19050</v>
      </c>
      <c r="AL69" s="97">
        <v>22050</v>
      </c>
      <c r="AM69" s="445">
        <v>453180</v>
      </c>
      <c r="AN69" s="440">
        <v>384250</v>
      </c>
      <c r="AO69" s="440">
        <v>708187.5</v>
      </c>
      <c r="AP69" s="440">
        <v>0</v>
      </c>
      <c r="AQ69" s="446">
        <v>110250</v>
      </c>
      <c r="AR69" s="445">
        <v>1655867.5</v>
      </c>
      <c r="AS69" s="440">
        <v>5250</v>
      </c>
      <c r="AT69" s="440" t="e">
        <v>#DIV/0!</v>
      </c>
      <c r="AU69" s="328">
        <f>IFERROR(Tabla1[[#This Row],[CAUDAL TOTAL TRATADO GEM ]]/Tabla1[[#This Row],[CAUDAL DE TRATAMIENTO]],0)</f>
        <v>0</v>
      </c>
    </row>
    <row r="70" spans="1:47" ht="15" thickBot="1" x14ac:dyDescent="0.35">
      <c r="A70" s="564">
        <v>46076</v>
      </c>
      <c r="B70" s="96">
        <v>23</v>
      </c>
      <c r="C70" s="324" t="s">
        <v>30</v>
      </c>
      <c r="D70" s="325">
        <v>69</v>
      </c>
      <c r="E70" s="325" t="s">
        <v>76</v>
      </c>
      <c r="F70" s="441">
        <v>2100</v>
      </c>
      <c r="G70" s="442">
        <v>4300</v>
      </c>
      <c r="H70" s="442">
        <v>2810</v>
      </c>
      <c r="I70" s="442">
        <v>80</v>
      </c>
      <c r="J70" s="442">
        <v>230</v>
      </c>
      <c r="K70" s="454">
        <v>17138</v>
      </c>
      <c r="L70" s="455">
        <v>480</v>
      </c>
      <c r="M70" s="330">
        <v>80</v>
      </c>
      <c r="N70" s="428">
        <v>100</v>
      </c>
      <c r="O70" s="458">
        <v>0</v>
      </c>
      <c r="P70" s="428">
        <v>10</v>
      </c>
      <c r="Q70" s="428">
        <v>5</v>
      </c>
      <c r="R70" s="429">
        <v>5</v>
      </c>
      <c r="S70" s="432">
        <v>130</v>
      </c>
      <c r="T70" s="433">
        <v>0</v>
      </c>
      <c r="U70" s="433">
        <v>12.5</v>
      </c>
      <c r="V70" s="447">
        <v>5</v>
      </c>
      <c r="W70" s="429">
        <v>5</v>
      </c>
      <c r="X70" s="444">
        <v>270.83333333333331</v>
      </c>
      <c r="Y70" s="447">
        <v>0</v>
      </c>
      <c r="Z70" s="447">
        <v>26.041666666666668</v>
      </c>
      <c r="AA70" s="447">
        <v>10.416666666666666</v>
      </c>
      <c r="AB70" s="429">
        <v>10.416666666666666</v>
      </c>
      <c r="AC70" s="434">
        <v>1.3</v>
      </c>
      <c r="AD70" s="434">
        <v>1.325</v>
      </c>
      <c r="AE70" s="434">
        <v>1.25</v>
      </c>
      <c r="AF70" s="435">
        <v>2500</v>
      </c>
      <c r="AG70" s="436">
        <v>2500</v>
      </c>
      <c r="AH70" s="97">
        <v>830</v>
      </c>
      <c r="AI70" s="97">
        <v>2900</v>
      </c>
      <c r="AJ70" s="97">
        <v>6295</v>
      </c>
      <c r="AK70" s="97">
        <v>19050</v>
      </c>
      <c r="AL70" s="97">
        <v>22050</v>
      </c>
      <c r="AM70" s="445">
        <v>107900</v>
      </c>
      <c r="AN70" s="448">
        <v>0</v>
      </c>
      <c r="AO70" s="448">
        <v>78687.5</v>
      </c>
      <c r="AP70" s="448">
        <v>95250</v>
      </c>
      <c r="AQ70" s="449">
        <v>110250</v>
      </c>
      <c r="AR70" s="445">
        <v>392087.5</v>
      </c>
      <c r="AS70" s="448">
        <v>5250</v>
      </c>
      <c r="AT70" s="440">
        <v>816.84895833333337</v>
      </c>
      <c r="AU70" s="330">
        <f>IFERROR(Tabla1[[#This Row],[CAUDAL TOTAL TRATADO GEM ]]/Tabla1[[#This Row],[CAUDAL DE TRATAMIENTO]],0)</f>
        <v>6</v>
      </c>
    </row>
    <row r="71" spans="1:47" ht="15" thickBot="1" x14ac:dyDescent="0.35">
      <c r="A71" s="143">
        <v>46077</v>
      </c>
      <c r="B71" s="96">
        <v>24</v>
      </c>
      <c r="C71" s="320" t="s">
        <v>302</v>
      </c>
      <c r="D71" s="321">
        <v>70</v>
      </c>
      <c r="E71" s="321" t="s">
        <v>75</v>
      </c>
      <c r="F71" s="430">
        <v>2000</v>
      </c>
      <c r="G71" s="431">
        <v>4300</v>
      </c>
      <c r="H71" s="431">
        <v>2800</v>
      </c>
      <c r="I71" s="431">
        <v>75</v>
      </c>
      <c r="J71" s="431">
        <v>225</v>
      </c>
      <c r="K71" s="451">
        <v>17144</v>
      </c>
      <c r="L71" s="452">
        <v>400</v>
      </c>
      <c r="M71" s="329">
        <v>80</v>
      </c>
      <c r="N71" s="424">
        <v>0</v>
      </c>
      <c r="O71" s="456">
        <v>330</v>
      </c>
      <c r="P71" s="424">
        <v>0</v>
      </c>
      <c r="Q71" s="424">
        <v>0</v>
      </c>
      <c r="R71" s="425">
        <v>5</v>
      </c>
      <c r="S71" s="432">
        <v>0</v>
      </c>
      <c r="T71" s="433">
        <v>437.25</v>
      </c>
      <c r="U71" s="433">
        <v>0</v>
      </c>
      <c r="V71" s="433">
        <v>0</v>
      </c>
      <c r="W71" s="425">
        <v>5</v>
      </c>
      <c r="X71" s="432">
        <v>0</v>
      </c>
      <c r="Y71" s="433">
        <v>1093.125</v>
      </c>
      <c r="Z71" s="433">
        <v>0</v>
      </c>
      <c r="AA71" s="433">
        <v>0</v>
      </c>
      <c r="AB71" s="425">
        <v>12.5</v>
      </c>
      <c r="AC71" s="434">
        <v>1.3</v>
      </c>
      <c r="AD71" s="434">
        <v>1.325</v>
      </c>
      <c r="AE71" s="434">
        <v>1.25</v>
      </c>
      <c r="AF71" s="435">
        <v>2500</v>
      </c>
      <c r="AG71" s="436">
        <v>2500</v>
      </c>
      <c r="AH71" s="97">
        <v>830</v>
      </c>
      <c r="AI71" s="97">
        <v>2900</v>
      </c>
      <c r="AJ71" s="97">
        <v>6295</v>
      </c>
      <c r="AK71" s="97">
        <v>19050</v>
      </c>
      <c r="AL71" s="97">
        <v>22050</v>
      </c>
      <c r="AM71" s="437">
        <v>0</v>
      </c>
      <c r="AN71" s="438">
        <v>1268025</v>
      </c>
      <c r="AO71" s="438">
        <v>0</v>
      </c>
      <c r="AP71" s="438">
        <v>0</v>
      </c>
      <c r="AQ71" s="439">
        <v>110250</v>
      </c>
      <c r="AR71" s="437">
        <v>1378275</v>
      </c>
      <c r="AS71" s="438">
        <v>5250</v>
      </c>
      <c r="AT71" s="440">
        <v>3445.6875</v>
      </c>
      <c r="AU71" s="329">
        <f>IFERROR(Tabla1[[#This Row],[CAUDAL TOTAL TRATADO GEM ]]/Tabla1[[#This Row],[CAUDAL DE TRATAMIENTO]],0)</f>
        <v>5</v>
      </c>
    </row>
    <row r="72" spans="1:47" ht="15" thickBot="1" x14ac:dyDescent="0.35">
      <c r="A72" s="563">
        <v>46077</v>
      </c>
      <c r="B72" s="96">
        <v>24</v>
      </c>
      <c r="C72" s="322" t="s">
        <v>303</v>
      </c>
      <c r="D72" s="323">
        <v>71</v>
      </c>
      <c r="E72" s="323" t="s">
        <v>77</v>
      </c>
      <c r="F72" s="441">
        <v>2000</v>
      </c>
      <c r="G72" s="442">
        <v>3970</v>
      </c>
      <c r="H72" s="442">
        <v>2800</v>
      </c>
      <c r="I72" s="442">
        <v>75</v>
      </c>
      <c r="J72" s="442">
        <v>220</v>
      </c>
      <c r="K72" s="453">
        <v>17149</v>
      </c>
      <c r="L72" s="450">
        <v>320</v>
      </c>
      <c r="M72" s="328">
        <v>80</v>
      </c>
      <c r="N72" s="426">
        <v>0</v>
      </c>
      <c r="O72" s="457">
        <v>310</v>
      </c>
      <c r="P72" s="426">
        <v>80</v>
      </c>
      <c r="Q72" s="426">
        <v>5</v>
      </c>
      <c r="R72" s="427">
        <v>5</v>
      </c>
      <c r="S72" s="432">
        <v>0</v>
      </c>
      <c r="T72" s="433">
        <v>410.75</v>
      </c>
      <c r="U72" s="433">
        <v>100</v>
      </c>
      <c r="V72" s="443">
        <v>5</v>
      </c>
      <c r="W72" s="427">
        <v>5</v>
      </c>
      <c r="X72" s="444">
        <v>0</v>
      </c>
      <c r="Y72" s="443">
        <v>1283.59375</v>
      </c>
      <c r="Z72" s="443">
        <v>312.5</v>
      </c>
      <c r="AA72" s="443">
        <v>15.625</v>
      </c>
      <c r="AB72" s="427">
        <v>15.625</v>
      </c>
      <c r="AC72" s="434">
        <v>1.3</v>
      </c>
      <c r="AD72" s="434">
        <v>1.325</v>
      </c>
      <c r="AE72" s="434">
        <v>1.25</v>
      </c>
      <c r="AF72" s="435">
        <v>2500</v>
      </c>
      <c r="AG72" s="436">
        <v>2500</v>
      </c>
      <c r="AH72" s="97">
        <v>830</v>
      </c>
      <c r="AI72" s="97">
        <v>2900</v>
      </c>
      <c r="AJ72" s="97">
        <v>6295</v>
      </c>
      <c r="AK72" s="97">
        <v>19050</v>
      </c>
      <c r="AL72" s="97">
        <v>22050</v>
      </c>
      <c r="AM72" s="445">
        <v>0</v>
      </c>
      <c r="AN72" s="440">
        <v>1191175</v>
      </c>
      <c r="AO72" s="440">
        <v>629500</v>
      </c>
      <c r="AP72" s="440">
        <v>95250</v>
      </c>
      <c r="AQ72" s="446">
        <v>110250</v>
      </c>
      <c r="AR72" s="445">
        <v>2026175</v>
      </c>
      <c r="AS72" s="440">
        <v>5250</v>
      </c>
      <c r="AT72" s="440">
        <v>6331.796875</v>
      </c>
      <c r="AU72" s="328">
        <f>IFERROR(Tabla1[[#This Row],[CAUDAL TOTAL TRATADO GEM ]]/Tabla1[[#This Row],[CAUDAL DE TRATAMIENTO]],0)</f>
        <v>4</v>
      </c>
    </row>
    <row r="73" spans="1:47" s="349" customFormat="1" ht="15" thickBot="1" x14ac:dyDescent="0.35">
      <c r="A73" s="564">
        <v>46077</v>
      </c>
      <c r="B73" s="346">
        <v>24</v>
      </c>
      <c r="C73" s="352" t="s">
        <v>30</v>
      </c>
      <c r="D73" s="353">
        <v>72</v>
      </c>
      <c r="E73" s="353" t="s">
        <v>76</v>
      </c>
      <c r="F73" s="441">
        <v>2000</v>
      </c>
      <c r="G73" s="442">
        <v>3660</v>
      </c>
      <c r="H73" s="442">
        <v>2720</v>
      </c>
      <c r="I73" s="442">
        <v>70</v>
      </c>
      <c r="J73" s="442">
        <v>215</v>
      </c>
      <c r="K73" s="454">
        <v>17153</v>
      </c>
      <c r="L73" s="455">
        <v>400</v>
      </c>
      <c r="M73" s="330">
        <v>80</v>
      </c>
      <c r="N73" s="428">
        <v>130</v>
      </c>
      <c r="O73" s="458">
        <v>60</v>
      </c>
      <c r="P73" s="428">
        <v>120</v>
      </c>
      <c r="Q73" s="428">
        <v>0</v>
      </c>
      <c r="R73" s="429">
        <v>5</v>
      </c>
      <c r="S73" s="432">
        <v>169</v>
      </c>
      <c r="T73" s="433">
        <v>79.5</v>
      </c>
      <c r="U73" s="433">
        <v>150</v>
      </c>
      <c r="V73" s="447">
        <v>0</v>
      </c>
      <c r="W73" s="429">
        <v>5</v>
      </c>
      <c r="X73" s="444">
        <v>422.5</v>
      </c>
      <c r="Y73" s="447">
        <v>198.75</v>
      </c>
      <c r="Z73" s="447">
        <v>375</v>
      </c>
      <c r="AA73" s="447">
        <v>0</v>
      </c>
      <c r="AB73" s="429">
        <v>12.5</v>
      </c>
      <c r="AC73" s="434">
        <v>1.3</v>
      </c>
      <c r="AD73" s="434">
        <v>1.325</v>
      </c>
      <c r="AE73" s="434">
        <v>1.25</v>
      </c>
      <c r="AF73" s="435">
        <v>2500</v>
      </c>
      <c r="AG73" s="436">
        <v>2500</v>
      </c>
      <c r="AH73" s="97">
        <v>830</v>
      </c>
      <c r="AI73" s="97">
        <v>2900</v>
      </c>
      <c r="AJ73" s="97">
        <v>6295</v>
      </c>
      <c r="AK73" s="97">
        <v>19050</v>
      </c>
      <c r="AL73" s="97">
        <v>22050</v>
      </c>
      <c r="AM73" s="445">
        <v>140270</v>
      </c>
      <c r="AN73" s="448">
        <v>230550</v>
      </c>
      <c r="AO73" s="448">
        <v>944250</v>
      </c>
      <c r="AP73" s="448">
        <v>0</v>
      </c>
      <c r="AQ73" s="449">
        <v>110250</v>
      </c>
      <c r="AR73" s="445">
        <v>1425320</v>
      </c>
      <c r="AS73" s="448">
        <v>5250</v>
      </c>
      <c r="AT73" s="440">
        <v>3563.3</v>
      </c>
      <c r="AU73" s="330">
        <f>IFERROR(Tabla1[[#This Row],[CAUDAL TOTAL TRATADO GEM ]]/Tabla1[[#This Row],[CAUDAL DE TRATAMIENTO]],0)</f>
        <v>5</v>
      </c>
    </row>
    <row r="74" spans="1:47" s="349" customFormat="1" ht="15" thickBot="1" x14ac:dyDescent="0.35">
      <c r="A74" s="143">
        <v>46078</v>
      </c>
      <c r="B74" s="346">
        <v>25</v>
      </c>
      <c r="C74" s="347" t="s">
        <v>304</v>
      </c>
      <c r="D74" s="348">
        <v>73</v>
      </c>
      <c r="E74" s="348" t="s">
        <v>75</v>
      </c>
      <c r="F74" s="430">
        <v>1870</v>
      </c>
      <c r="G74" s="431">
        <v>3600</v>
      </c>
      <c r="H74" s="431">
        <v>2600</v>
      </c>
      <c r="I74" s="431">
        <v>70</v>
      </c>
      <c r="J74" s="431">
        <v>210</v>
      </c>
      <c r="K74" s="451">
        <v>17158</v>
      </c>
      <c r="L74" s="452">
        <v>480</v>
      </c>
      <c r="M74" s="329">
        <v>80</v>
      </c>
      <c r="N74" s="424">
        <v>70</v>
      </c>
      <c r="O74" s="456">
        <v>400</v>
      </c>
      <c r="P74" s="424">
        <v>25</v>
      </c>
      <c r="Q74" s="424">
        <v>5</v>
      </c>
      <c r="R74" s="425">
        <v>5</v>
      </c>
      <c r="S74" s="432">
        <v>91</v>
      </c>
      <c r="T74" s="433">
        <v>530</v>
      </c>
      <c r="U74" s="433">
        <v>31.25</v>
      </c>
      <c r="V74" s="433">
        <v>5</v>
      </c>
      <c r="W74" s="425">
        <v>5</v>
      </c>
      <c r="X74" s="432">
        <v>189.58333333333334</v>
      </c>
      <c r="Y74" s="433">
        <v>1104.1666666666667</v>
      </c>
      <c r="Z74" s="433">
        <v>65.104166666666671</v>
      </c>
      <c r="AA74" s="433">
        <v>10.416666666666666</v>
      </c>
      <c r="AB74" s="425">
        <v>10.416666666666666</v>
      </c>
      <c r="AC74" s="434">
        <v>1.3</v>
      </c>
      <c r="AD74" s="434">
        <v>1.325</v>
      </c>
      <c r="AE74" s="434">
        <v>1.25</v>
      </c>
      <c r="AF74" s="435">
        <v>2500</v>
      </c>
      <c r="AG74" s="436">
        <v>2500</v>
      </c>
      <c r="AH74" s="97">
        <v>830</v>
      </c>
      <c r="AI74" s="97">
        <v>2900</v>
      </c>
      <c r="AJ74" s="97">
        <v>6295</v>
      </c>
      <c r="AK74" s="97">
        <v>19050</v>
      </c>
      <c r="AL74" s="97">
        <v>22050</v>
      </c>
      <c r="AM74" s="437">
        <v>75530</v>
      </c>
      <c r="AN74" s="438">
        <v>1537000</v>
      </c>
      <c r="AO74" s="438">
        <v>196718.75</v>
      </c>
      <c r="AP74" s="438">
        <v>95250</v>
      </c>
      <c r="AQ74" s="439">
        <v>110250</v>
      </c>
      <c r="AR74" s="437">
        <v>2014748.75</v>
      </c>
      <c r="AS74" s="438">
        <v>5250</v>
      </c>
      <c r="AT74" s="440">
        <v>4197.393229166667</v>
      </c>
      <c r="AU74" s="329">
        <f>IFERROR(Tabla1[[#This Row],[CAUDAL TOTAL TRATADO GEM ]]/Tabla1[[#This Row],[CAUDAL DE TRATAMIENTO]],0)</f>
        <v>6</v>
      </c>
    </row>
    <row r="75" spans="1:47" s="349" customFormat="1" ht="15" thickBot="1" x14ac:dyDescent="0.35">
      <c r="A75" s="563">
        <v>46078</v>
      </c>
      <c r="B75" s="346">
        <v>25</v>
      </c>
      <c r="C75" s="350" t="s">
        <v>305</v>
      </c>
      <c r="D75" s="351">
        <v>74</v>
      </c>
      <c r="E75" s="351" t="s">
        <v>77</v>
      </c>
      <c r="F75" s="441">
        <v>1800</v>
      </c>
      <c r="G75" s="442">
        <v>3200</v>
      </c>
      <c r="H75" s="442">
        <v>2575</v>
      </c>
      <c r="I75" s="442">
        <v>65</v>
      </c>
      <c r="J75" s="442">
        <v>205</v>
      </c>
      <c r="K75" s="453">
        <v>17164</v>
      </c>
      <c r="L75" s="450">
        <v>480</v>
      </c>
      <c r="M75" s="328">
        <v>80</v>
      </c>
      <c r="N75" s="426">
        <v>70</v>
      </c>
      <c r="O75" s="457">
        <v>180</v>
      </c>
      <c r="P75" s="426">
        <v>25</v>
      </c>
      <c r="Q75" s="426">
        <v>0</v>
      </c>
      <c r="R75" s="427">
        <v>5</v>
      </c>
      <c r="S75" s="432">
        <v>91</v>
      </c>
      <c r="T75" s="433">
        <v>238.5</v>
      </c>
      <c r="U75" s="433">
        <v>31.25</v>
      </c>
      <c r="V75" s="443">
        <v>0</v>
      </c>
      <c r="W75" s="427">
        <v>5</v>
      </c>
      <c r="X75" s="444">
        <v>189.58333333333334</v>
      </c>
      <c r="Y75" s="443">
        <v>496.875</v>
      </c>
      <c r="Z75" s="443">
        <v>65.104166666666671</v>
      </c>
      <c r="AA75" s="443">
        <v>0</v>
      </c>
      <c r="AB75" s="427">
        <v>10.416666666666666</v>
      </c>
      <c r="AC75" s="434">
        <v>1.3</v>
      </c>
      <c r="AD75" s="434">
        <v>1.325</v>
      </c>
      <c r="AE75" s="434">
        <v>1.25</v>
      </c>
      <c r="AF75" s="435">
        <v>2500</v>
      </c>
      <c r="AG75" s="436">
        <v>2500</v>
      </c>
      <c r="AH75" s="97">
        <v>830</v>
      </c>
      <c r="AI75" s="97">
        <v>2900</v>
      </c>
      <c r="AJ75" s="97">
        <v>6295</v>
      </c>
      <c r="AK75" s="97">
        <v>19050</v>
      </c>
      <c r="AL75" s="97">
        <v>22050</v>
      </c>
      <c r="AM75" s="445">
        <v>75530</v>
      </c>
      <c r="AN75" s="440">
        <v>691650</v>
      </c>
      <c r="AO75" s="440">
        <v>196718.75</v>
      </c>
      <c r="AP75" s="440">
        <v>0</v>
      </c>
      <c r="AQ75" s="446">
        <v>110250</v>
      </c>
      <c r="AR75" s="445">
        <v>1074148.75</v>
      </c>
      <c r="AS75" s="440">
        <v>5250</v>
      </c>
      <c r="AT75" s="440">
        <v>2237.8098958333335</v>
      </c>
      <c r="AU75" s="328">
        <f>IFERROR(Tabla1[[#This Row],[CAUDAL TOTAL TRATADO GEM ]]/Tabla1[[#This Row],[CAUDAL DE TRATAMIENTO]],0)</f>
        <v>6</v>
      </c>
    </row>
    <row r="76" spans="1:47" s="349" customFormat="1" ht="15" thickBot="1" x14ac:dyDescent="0.35">
      <c r="A76" s="564">
        <v>46078</v>
      </c>
      <c r="B76" s="346">
        <v>25</v>
      </c>
      <c r="C76" s="352" t="s">
        <v>30</v>
      </c>
      <c r="D76" s="353">
        <v>75</v>
      </c>
      <c r="E76" s="353" t="s">
        <v>76</v>
      </c>
      <c r="F76" s="441">
        <v>1730</v>
      </c>
      <c r="G76" s="442">
        <v>3020</v>
      </c>
      <c r="H76" s="442">
        <v>2550</v>
      </c>
      <c r="I76" s="442">
        <v>65</v>
      </c>
      <c r="J76" s="442">
        <v>200</v>
      </c>
      <c r="K76" s="454">
        <v>17170</v>
      </c>
      <c r="L76" s="455">
        <v>480</v>
      </c>
      <c r="M76" s="330">
        <v>80</v>
      </c>
      <c r="N76" s="428">
        <v>40</v>
      </c>
      <c r="O76" s="458">
        <v>200</v>
      </c>
      <c r="P76" s="428">
        <v>50</v>
      </c>
      <c r="Q76" s="428">
        <v>5</v>
      </c>
      <c r="R76" s="429">
        <v>5</v>
      </c>
      <c r="S76" s="432">
        <v>52</v>
      </c>
      <c r="T76" s="433">
        <v>265</v>
      </c>
      <c r="U76" s="433">
        <v>62.5</v>
      </c>
      <c r="V76" s="447">
        <v>5</v>
      </c>
      <c r="W76" s="429">
        <v>5</v>
      </c>
      <c r="X76" s="444">
        <v>108.33333333333333</v>
      </c>
      <c r="Y76" s="447">
        <v>552.08333333333337</v>
      </c>
      <c r="Z76" s="447">
        <v>130.20833333333334</v>
      </c>
      <c r="AA76" s="447">
        <v>10.416666666666666</v>
      </c>
      <c r="AB76" s="429">
        <v>10.416666666666666</v>
      </c>
      <c r="AC76" s="434">
        <v>1.3</v>
      </c>
      <c r="AD76" s="434">
        <v>1.325</v>
      </c>
      <c r="AE76" s="434">
        <v>1.25</v>
      </c>
      <c r="AF76" s="435">
        <v>2500</v>
      </c>
      <c r="AG76" s="436">
        <v>2500</v>
      </c>
      <c r="AH76" s="97">
        <v>830</v>
      </c>
      <c r="AI76" s="97">
        <v>2900</v>
      </c>
      <c r="AJ76" s="97">
        <v>6295</v>
      </c>
      <c r="AK76" s="97">
        <v>19050</v>
      </c>
      <c r="AL76" s="97">
        <v>22050</v>
      </c>
      <c r="AM76" s="445">
        <v>43160</v>
      </c>
      <c r="AN76" s="448">
        <v>768500</v>
      </c>
      <c r="AO76" s="448">
        <v>393437.5</v>
      </c>
      <c r="AP76" s="448">
        <v>95250</v>
      </c>
      <c r="AQ76" s="449">
        <v>110250</v>
      </c>
      <c r="AR76" s="445">
        <v>1410597.5</v>
      </c>
      <c r="AS76" s="448">
        <v>5250</v>
      </c>
      <c r="AT76" s="440">
        <v>2938.7447916666665</v>
      </c>
      <c r="AU76" s="330">
        <f>IFERROR(Tabla1[[#This Row],[CAUDAL TOTAL TRATADO GEM ]]/Tabla1[[#This Row],[CAUDAL DE TRATAMIENTO]],0)</f>
        <v>6</v>
      </c>
    </row>
    <row r="77" spans="1:47" ht="15" thickBot="1" x14ac:dyDescent="0.35">
      <c r="A77" s="143">
        <v>46079</v>
      </c>
      <c r="B77" s="96">
        <v>26</v>
      </c>
      <c r="C77" s="320" t="s">
        <v>306</v>
      </c>
      <c r="D77" s="321">
        <v>76</v>
      </c>
      <c r="E77" s="321" t="s">
        <v>75</v>
      </c>
      <c r="F77" s="430">
        <v>1690</v>
      </c>
      <c r="G77" s="431">
        <v>2820</v>
      </c>
      <c r="H77" s="431">
        <v>2500</v>
      </c>
      <c r="I77" s="431">
        <v>60</v>
      </c>
      <c r="J77" s="431">
        <v>195</v>
      </c>
      <c r="K77" s="451">
        <v>17176</v>
      </c>
      <c r="L77" s="452">
        <v>560</v>
      </c>
      <c r="M77" s="329">
        <v>80</v>
      </c>
      <c r="N77" s="424">
        <v>240</v>
      </c>
      <c r="O77" s="456">
        <v>150</v>
      </c>
      <c r="P77" s="424">
        <v>0</v>
      </c>
      <c r="Q77" s="424">
        <v>0</v>
      </c>
      <c r="R77" s="425">
        <v>5</v>
      </c>
      <c r="S77" s="432">
        <v>312</v>
      </c>
      <c r="T77" s="433">
        <v>198.75</v>
      </c>
      <c r="U77" s="433">
        <v>0</v>
      </c>
      <c r="V77" s="433">
        <v>0</v>
      </c>
      <c r="W77" s="425">
        <v>5</v>
      </c>
      <c r="X77" s="432">
        <v>557.14285714285711</v>
      </c>
      <c r="Y77" s="433">
        <v>354.91071428571428</v>
      </c>
      <c r="Z77" s="433">
        <v>0</v>
      </c>
      <c r="AA77" s="433">
        <v>0</v>
      </c>
      <c r="AB77" s="425">
        <v>8.9285714285714288</v>
      </c>
      <c r="AC77" s="434">
        <v>1.3</v>
      </c>
      <c r="AD77" s="434">
        <v>1.325</v>
      </c>
      <c r="AE77" s="434">
        <v>1.25</v>
      </c>
      <c r="AF77" s="435">
        <v>2500</v>
      </c>
      <c r="AG77" s="436">
        <v>2500</v>
      </c>
      <c r="AH77" s="97">
        <v>830</v>
      </c>
      <c r="AI77" s="97">
        <v>2900</v>
      </c>
      <c r="AJ77" s="97">
        <v>6295</v>
      </c>
      <c r="AK77" s="97">
        <v>19050</v>
      </c>
      <c r="AL77" s="97">
        <v>22050</v>
      </c>
      <c r="AM77" s="437">
        <v>258960</v>
      </c>
      <c r="AN77" s="438">
        <v>576375</v>
      </c>
      <c r="AO77" s="438">
        <v>0</v>
      </c>
      <c r="AP77" s="438">
        <v>0</v>
      </c>
      <c r="AQ77" s="439">
        <v>110250</v>
      </c>
      <c r="AR77" s="437">
        <v>945585</v>
      </c>
      <c r="AS77" s="438">
        <v>5250</v>
      </c>
      <c r="AT77" s="440">
        <v>1688.5446428571429</v>
      </c>
      <c r="AU77" s="329">
        <f>IFERROR(Tabla1[[#This Row],[CAUDAL TOTAL TRATADO GEM ]]/Tabla1[[#This Row],[CAUDAL DE TRATAMIENTO]],0)</f>
        <v>7</v>
      </c>
    </row>
    <row r="78" spans="1:47" ht="15" thickBot="1" x14ac:dyDescent="0.35">
      <c r="A78" s="563">
        <v>46079</v>
      </c>
      <c r="B78" s="96">
        <v>26</v>
      </c>
      <c r="C78" s="322" t="s">
        <v>307</v>
      </c>
      <c r="D78" s="323">
        <v>77</v>
      </c>
      <c r="E78" s="323" t="s">
        <v>77</v>
      </c>
      <c r="F78" s="441">
        <v>1450</v>
      </c>
      <c r="G78" s="442">
        <v>2670</v>
      </c>
      <c r="H78" s="442">
        <v>2500</v>
      </c>
      <c r="I78" s="442">
        <v>60</v>
      </c>
      <c r="J78" s="442">
        <v>190</v>
      </c>
      <c r="K78" s="453">
        <v>17183</v>
      </c>
      <c r="L78" s="450">
        <v>560</v>
      </c>
      <c r="M78" s="328">
        <v>80</v>
      </c>
      <c r="N78" s="426">
        <v>350</v>
      </c>
      <c r="O78" s="457">
        <v>190</v>
      </c>
      <c r="P78" s="426">
        <v>100</v>
      </c>
      <c r="Q78" s="426">
        <v>5</v>
      </c>
      <c r="R78" s="427">
        <v>5</v>
      </c>
      <c r="S78" s="432">
        <v>455</v>
      </c>
      <c r="T78" s="433">
        <v>251.75</v>
      </c>
      <c r="U78" s="433">
        <v>125</v>
      </c>
      <c r="V78" s="443">
        <v>5</v>
      </c>
      <c r="W78" s="427">
        <v>5</v>
      </c>
      <c r="X78" s="444">
        <v>812.5</v>
      </c>
      <c r="Y78" s="443">
        <v>449.55357142857144</v>
      </c>
      <c r="Z78" s="443">
        <v>223.21428571428572</v>
      </c>
      <c r="AA78" s="443">
        <v>8.9285714285714288</v>
      </c>
      <c r="AB78" s="427">
        <v>8.9285714285714288</v>
      </c>
      <c r="AC78" s="434">
        <v>1.3</v>
      </c>
      <c r="AD78" s="434">
        <v>1.325</v>
      </c>
      <c r="AE78" s="434">
        <v>1.25</v>
      </c>
      <c r="AF78" s="435">
        <v>2500</v>
      </c>
      <c r="AG78" s="436">
        <v>2500</v>
      </c>
      <c r="AH78" s="97">
        <v>830</v>
      </c>
      <c r="AI78" s="97">
        <v>2900</v>
      </c>
      <c r="AJ78" s="97">
        <v>6295</v>
      </c>
      <c r="AK78" s="97">
        <v>19050</v>
      </c>
      <c r="AL78" s="97">
        <v>22050</v>
      </c>
      <c r="AM78" s="445">
        <v>377650</v>
      </c>
      <c r="AN78" s="440">
        <v>730075</v>
      </c>
      <c r="AO78" s="440">
        <v>786875</v>
      </c>
      <c r="AP78" s="440">
        <v>95250</v>
      </c>
      <c r="AQ78" s="446">
        <v>110250</v>
      </c>
      <c r="AR78" s="445">
        <v>2100100</v>
      </c>
      <c r="AS78" s="440">
        <v>5250</v>
      </c>
      <c r="AT78" s="440">
        <v>3750.1785714285716</v>
      </c>
      <c r="AU78" s="328">
        <f>IFERROR(Tabla1[[#This Row],[CAUDAL TOTAL TRATADO GEM ]]/Tabla1[[#This Row],[CAUDAL DE TRATAMIENTO]],0)</f>
        <v>7</v>
      </c>
    </row>
    <row r="79" spans="1:47" ht="15" thickBot="1" x14ac:dyDescent="0.35">
      <c r="A79" s="564">
        <v>46079</v>
      </c>
      <c r="B79" s="96">
        <v>26</v>
      </c>
      <c r="C79" s="324" t="s">
        <v>30</v>
      </c>
      <c r="D79" s="325">
        <v>78</v>
      </c>
      <c r="E79" s="325" t="s">
        <v>76</v>
      </c>
      <c r="F79" s="441">
        <v>1100</v>
      </c>
      <c r="G79" s="442">
        <v>2480</v>
      </c>
      <c r="H79" s="442">
        <v>2400</v>
      </c>
      <c r="I79" s="442">
        <v>55</v>
      </c>
      <c r="J79" s="442">
        <v>185</v>
      </c>
      <c r="K79" s="454">
        <v>17190</v>
      </c>
      <c r="L79" s="455">
        <v>640</v>
      </c>
      <c r="M79" s="330">
        <v>80</v>
      </c>
      <c r="N79" s="428">
        <v>190</v>
      </c>
      <c r="O79" s="458">
        <v>180</v>
      </c>
      <c r="P79" s="428">
        <v>100</v>
      </c>
      <c r="Q79" s="428">
        <v>0</v>
      </c>
      <c r="R79" s="429">
        <v>5</v>
      </c>
      <c r="S79" s="432">
        <v>247</v>
      </c>
      <c r="T79" s="433">
        <v>238.5</v>
      </c>
      <c r="U79" s="433">
        <v>125</v>
      </c>
      <c r="V79" s="447">
        <v>0</v>
      </c>
      <c r="W79" s="429">
        <v>5</v>
      </c>
      <c r="X79" s="444">
        <v>385.9375</v>
      </c>
      <c r="Y79" s="447">
        <v>372.65625</v>
      </c>
      <c r="Z79" s="447">
        <v>195.3125</v>
      </c>
      <c r="AA79" s="447">
        <v>0</v>
      </c>
      <c r="AB79" s="429">
        <v>7.8125</v>
      </c>
      <c r="AC79" s="434">
        <v>1.3</v>
      </c>
      <c r="AD79" s="434">
        <v>1.325</v>
      </c>
      <c r="AE79" s="434">
        <v>1.25</v>
      </c>
      <c r="AF79" s="435">
        <v>2500</v>
      </c>
      <c r="AG79" s="436">
        <v>2500</v>
      </c>
      <c r="AH79" s="97">
        <v>830</v>
      </c>
      <c r="AI79" s="97">
        <v>2900</v>
      </c>
      <c r="AJ79" s="97">
        <v>6295</v>
      </c>
      <c r="AK79" s="97">
        <v>19050</v>
      </c>
      <c r="AL79" s="97">
        <v>22050</v>
      </c>
      <c r="AM79" s="445">
        <v>205010</v>
      </c>
      <c r="AN79" s="448">
        <v>691650</v>
      </c>
      <c r="AO79" s="448">
        <v>786875</v>
      </c>
      <c r="AP79" s="448">
        <v>0</v>
      </c>
      <c r="AQ79" s="449">
        <v>110250</v>
      </c>
      <c r="AR79" s="445">
        <v>1793785</v>
      </c>
      <c r="AS79" s="448">
        <v>5250</v>
      </c>
      <c r="AT79" s="440">
        <v>2802.7890625</v>
      </c>
      <c r="AU79" s="330">
        <f>IFERROR(Tabla1[[#This Row],[CAUDAL TOTAL TRATADO GEM ]]/Tabla1[[#This Row],[CAUDAL DE TRATAMIENTO]],0)</f>
        <v>8</v>
      </c>
    </row>
    <row r="80" spans="1:47" ht="15" thickBot="1" x14ac:dyDescent="0.35">
      <c r="A80" s="143">
        <v>46080</v>
      </c>
      <c r="B80" s="96">
        <v>27</v>
      </c>
      <c r="C80" s="320" t="s">
        <v>308</v>
      </c>
      <c r="D80" s="321">
        <v>79</v>
      </c>
      <c r="E80" s="321" t="s">
        <v>75</v>
      </c>
      <c r="F80" s="430">
        <v>910</v>
      </c>
      <c r="G80" s="431">
        <v>2300</v>
      </c>
      <c r="H80" s="431">
        <v>2300</v>
      </c>
      <c r="I80" s="431">
        <v>55</v>
      </c>
      <c r="J80" s="431">
        <v>180</v>
      </c>
      <c r="K80" s="451">
        <v>17198</v>
      </c>
      <c r="L80" s="452">
        <v>560</v>
      </c>
      <c r="M80" s="329">
        <v>80</v>
      </c>
      <c r="N80" s="424">
        <v>20</v>
      </c>
      <c r="O80" s="456">
        <v>220</v>
      </c>
      <c r="P80" s="424">
        <v>80</v>
      </c>
      <c r="Q80" s="424">
        <v>5</v>
      </c>
      <c r="R80" s="425">
        <v>5</v>
      </c>
      <c r="S80" s="432">
        <v>26</v>
      </c>
      <c r="T80" s="433">
        <v>291.5</v>
      </c>
      <c r="U80" s="433">
        <v>100</v>
      </c>
      <c r="V80" s="433">
        <v>5</v>
      </c>
      <c r="W80" s="425">
        <v>5</v>
      </c>
      <c r="X80" s="432">
        <v>46.428571428571431</v>
      </c>
      <c r="Y80" s="433">
        <v>520.53571428571433</v>
      </c>
      <c r="Z80" s="433">
        <v>178.57142857142858</v>
      </c>
      <c r="AA80" s="433">
        <v>8.9285714285714288</v>
      </c>
      <c r="AB80" s="425">
        <v>8.9285714285714288</v>
      </c>
      <c r="AC80" s="434">
        <v>1.3</v>
      </c>
      <c r="AD80" s="434">
        <v>1.325</v>
      </c>
      <c r="AE80" s="434">
        <v>1.25</v>
      </c>
      <c r="AF80" s="435">
        <v>2500</v>
      </c>
      <c r="AG80" s="436">
        <v>2500</v>
      </c>
      <c r="AH80" s="97">
        <v>830</v>
      </c>
      <c r="AI80" s="97">
        <v>2900</v>
      </c>
      <c r="AJ80" s="97">
        <v>6295</v>
      </c>
      <c r="AK80" s="97">
        <v>19050</v>
      </c>
      <c r="AL80" s="97">
        <v>22050</v>
      </c>
      <c r="AM80" s="437">
        <v>21580</v>
      </c>
      <c r="AN80" s="438">
        <v>845350</v>
      </c>
      <c r="AO80" s="438">
        <v>629500</v>
      </c>
      <c r="AP80" s="438">
        <v>95250</v>
      </c>
      <c r="AQ80" s="439">
        <v>110250</v>
      </c>
      <c r="AR80" s="437">
        <v>1701930</v>
      </c>
      <c r="AS80" s="438">
        <v>5250</v>
      </c>
      <c r="AT80" s="440">
        <v>3039.1607142857142</v>
      </c>
      <c r="AU80" s="329">
        <f>IFERROR(Tabla1[[#This Row],[CAUDAL TOTAL TRATADO GEM ]]/Tabla1[[#This Row],[CAUDAL DE TRATAMIENTO]],0)</f>
        <v>7</v>
      </c>
    </row>
    <row r="81" spans="1:47" ht="15" thickBot="1" x14ac:dyDescent="0.35">
      <c r="A81" s="563">
        <v>46080</v>
      </c>
      <c r="B81" s="96">
        <v>27</v>
      </c>
      <c r="C81" s="322" t="s">
        <v>309</v>
      </c>
      <c r="D81" s="323">
        <v>80</v>
      </c>
      <c r="E81" s="323" t="s">
        <v>77</v>
      </c>
      <c r="F81" s="441">
        <v>890</v>
      </c>
      <c r="G81" s="442">
        <v>2080</v>
      </c>
      <c r="H81" s="442">
        <v>2220</v>
      </c>
      <c r="I81" s="442">
        <v>50</v>
      </c>
      <c r="J81" s="442">
        <v>175</v>
      </c>
      <c r="K81" s="453">
        <v>17205</v>
      </c>
      <c r="L81" s="450">
        <v>400</v>
      </c>
      <c r="M81" s="328">
        <v>80</v>
      </c>
      <c r="N81" s="426">
        <v>390</v>
      </c>
      <c r="O81" s="457">
        <v>260</v>
      </c>
      <c r="P81" s="426">
        <v>50</v>
      </c>
      <c r="Q81" s="426">
        <v>0</v>
      </c>
      <c r="R81" s="427">
        <v>5</v>
      </c>
      <c r="S81" s="432">
        <v>507</v>
      </c>
      <c r="T81" s="433">
        <v>344.5</v>
      </c>
      <c r="U81" s="433">
        <v>62.5</v>
      </c>
      <c r="V81" s="443">
        <v>0</v>
      </c>
      <c r="W81" s="427">
        <v>5</v>
      </c>
      <c r="X81" s="444">
        <v>1267.5</v>
      </c>
      <c r="Y81" s="443">
        <v>861.25</v>
      </c>
      <c r="Z81" s="443">
        <v>156.25</v>
      </c>
      <c r="AA81" s="443">
        <v>0</v>
      </c>
      <c r="AB81" s="427">
        <v>12.5</v>
      </c>
      <c r="AC81" s="434">
        <v>1.3</v>
      </c>
      <c r="AD81" s="434">
        <v>1.325</v>
      </c>
      <c r="AE81" s="434">
        <v>1.25</v>
      </c>
      <c r="AF81" s="435">
        <v>2500</v>
      </c>
      <c r="AG81" s="436">
        <v>2500</v>
      </c>
      <c r="AH81" s="97">
        <v>830</v>
      </c>
      <c r="AI81" s="97">
        <v>2900</v>
      </c>
      <c r="AJ81" s="97">
        <v>6295</v>
      </c>
      <c r="AK81" s="97">
        <v>19050</v>
      </c>
      <c r="AL81" s="97">
        <v>22050</v>
      </c>
      <c r="AM81" s="445">
        <v>420810</v>
      </c>
      <c r="AN81" s="440">
        <v>999050</v>
      </c>
      <c r="AO81" s="440">
        <v>393437.5</v>
      </c>
      <c r="AP81" s="440">
        <v>0</v>
      </c>
      <c r="AQ81" s="446">
        <v>110250</v>
      </c>
      <c r="AR81" s="445">
        <v>1923547.5</v>
      </c>
      <c r="AS81" s="440">
        <v>5250</v>
      </c>
      <c r="AT81" s="440">
        <v>4808.8687499999996</v>
      </c>
      <c r="AU81" s="328">
        <f>IFERROR(Tabla1[[#This Row],[CAUDAL TOTAL TRATADO GEM ]]/Tabla1[[#This Row],[CAUDAL DE TRATAMIENTO]],0)</f>
        <v>5</v>
      </c>
    </row>
    <row r="82" spans="1:47" ht="15" thickBot="1" x14ac:dyDescent="0.35">
      <c r="A82" s="564">
        <v>46080</v>
      </c>
      <c r="B82" s="96">
        <v>27</v>
      </c>
      <c r="C82" s="324" t="s">
        <v>30</v>
      </c>
      <c r="D82" s="325">
        <v>81</v>
      </c>
      <c r="E82" s="325" t="s">
        <v>76</v>
      </c>
      <c r="F82" s="441">
        <v>500</v>
      </c>
      <c r="G82" s="442">
        <v>1820</v>
      </c>
      <c r="H82" s="442">
        <v>2170</v>
      </c>
      <c r="I82" s="442">
        <v>50</v>
      </c>
      <c r="J82" s="442">
        <v>170</v>
      </c>
      <c r="K82" s="454">
        <v>17210</v>
      </c>
      <c r="L82" s="455">
        <v>480</v>
      </c>
      <c r="M82" s="330">
        <v>80</v>
      </c>
      <c r="N82" s="428">
        <v>20</v>
      </c>
      <c r="O82" s="458">
        <v>120</v>
      </c>
      <c r="P82" s="428">
        <v>80</v>
      </c>
      <c r="Q82" s="428">
        <v>5</v>
      </c>
      <c r="R82" s="429">
        <v>5</v>
      </c>
      <c r="S82" s="432">
        <v>26</v>
      </c>
      <c r="T82" s="433">
        <v>159</v>
      </c>
      <c r="U82" s="433">
        <v>100</v>
      </c>
      <c r="V82" s="447">
        <v>5</v>
      </c>
      <c r="W82" s="429">
        <v>5</v>
      </c>
      <c r="X82" s="444">
        <v>54.166666666666664</v>
      </c>
      <c r="Y82" s="447">
        <v>331.25</v>
      </c>
      <c r="Z82" s="447">
        <v>208.33333333333334</v>
      </c>
      <c r="AA82" s="447">
        <v>10.416666666666666</v>
      </c>
      <c r="AB82" s="429">
        <v>10.416666666666666</v>
      </c>
      <c r="AC82" s="434">
        <v>1.3</v>
      </c>
      <c r="AD82" s="434">
        <v>1.325</v>
      </c>
      <c r="AE82" s="434">
        <v>1.25</v>
      </c>
      <c r="AF82" s="435">
        <v>2500</v>
      </c>
      <c r="AG82" s="436">
        <v>2500</v>
      </c>
      <c r="AH82" s="97">
        <v>830</v>
      </c>
      <c r="AI82" s="97">
        <v>2900</v>
      </c>
      <c r="AJ82" s="97">
        <v>6295</v>
      </c>
      <c r="AK82" s="97">
        <v>19050</v>
      </c>
      <c r="AL82" s="97">
        <v>22050</v>
      </c>
      <c r="AM82" s="445">
        <v>21580</v>
      </c>
      <c r="AN82" s="448">
        <v>461100</v>
      </c>
      <c r="AO82" s="448">
        <v>629500</v>
      </c>
      <c r="AP82" s="448">
        <v>95250</v>
      </c>
      <c r="AQ82" s="449">
        <v>110250</v>
      </c>
      <c r="AR82" s="445">
        <v>1317680</v>
      </c>
      <c r="AS82" s="448">
        <v>5250</v>
      </c>
      <c r="AT82" s="440">
        <v>2745.1666666666665</v>
      </c>
      <c r="AU82" s="330">
        <f>IFERROR(Tabla1[[#This Row],[CAUDAL TOTAL TRATADO GEM ]]/Tabla1[[#This Row],[CAUDAL DE TRATAMIENTO]],0)</f>
        <v>6</v>
      </c>
    </row>
    <row r="83" spans="1:47" ht="14.25" customHeight="1" thickBot="1" x14ac:dyDescent="0.35">
      <c r="A83" s="143">
        <v>46081</v>
      </c>
      <c r="B83" s="96">
        <v>28</v>
      </c>
      <c r="C83" s="320" t="s">
        <v>310</v>
      </c>
      <c r="D83" s="321">
        <v>82</v>
      </c>
      <c r="E83" s="321" t="s">
        <v>75</v>
      </c>
      <c r="F83" s="430">
        <v>480</v>
      </c>
      <c r="G83" s="431">
        <v>1700</v>
      </c>
      <c r="H83" s="431">
        <v>2090</v>
      </c>
      <c r="I83" s="431">
        <v>45</v>
      </c>
      <c r="J83" s="431">
        <v>165</v>
      </c>
      <c r="K83" s="451">
        <v>17216</v>
      </c>
      <c r="L83" s="452">
        <v>400</v>
      </c>
      <c r="M83" s="329">
        <v>80</v>
      </c>
      <c r="N83" s="424">
        <v>180</v>
      </c>
      <c r="O83" s="456">
        <v>350</v>
      </c>
      <c r="P83" s="424">
        <v>150</v>
      </c>
      <c r="Q83" s="424">
        <v>0</v>
      </c>
      <c r="R83" s="425">
        <v>5</v>
      </c>
      <c r="S83" s="432">
        <v>234</v>
      </c>
      <c r="T83" s="433">
        <v>463.75</v>
      </c>
      <c r="U83" s="433">
        <v>187.5</v>
      </c>
      <c r="V83" s="433">
        <v>0</v>
      </c>
      <c r="W83" s="425">
        <v>5</v>
      </c>
      <c r="X83" s="432">
        <v>585</v>
      </c>
      <c r="Y83" s="433">
        <v>1159.375</v>
      </c>
      <c r="Z83" s="433">
        <v>468.75</v>
      </c>
      <c r="AA83" s="433">
        <v>0</v>
      </c>
      <c r="AB83" s="425">
        <v>12.5</v>
      </c>
      <c r="AC83" s="434">
        <v>1.3</v>
      </c>
      <c r="AD83" s="434">
        <v>1.325</v>
      </c>
      <c r="AE83" s="434">
        <v>1.25</v>
      </c>
      <c r="AF83" s="435">
        <v>2500</v>
      </c>
      <c r="AG83" s="436">
        <v>2500</v>
      </c>
      <c r="AH83" s="97">
        <v>830</v>
      </c>
      <c r="AI83" s="97">
        <v>2900</v>
      </c>
      <c r="AJ83" s="97">
        <v>6295</v>
      </c>
      <c r="AK83" s="97">
        <v>19050</v>
      </c>
      <c r="AL83" s="97">
        <v>22050</v>
      </c>
      <c r="AM83" s="437">
        <v>194220</v>
      </c>
      <c r="AN83" s="438">
        <v>1344875</v>
      </c>
      <c r="AO83" s="438">
        <v>1180312.5</v>
      </c>
      <c r="AP83" s="438">
        <v>0</v>
      </c>
      <c r="AQ83" s="439">
        <v>110250</v>
      </c>
      <c r="AR83" s="437">
        <v>2829657.5</v>
      </c>
      <c r="AS83" s="438">
        <v>5250</v>
      </c>
      <c r="AT83" s="440">
        <v>7074.1437500000002</v>
      </c>
      <c r="AU83" s="329">
        <f>IFERROR(Tabla1[[#This Row],[CAUDAL TOTAL TRATADO GEM ]]/Tabla1[[#This Row],[CAUDAL DE TRATAMIENTO]],0)</f>
        <v>5</v>
      </c>
    </row>
    <row r="84" spans="1:47" s="349" customFormat="1" ht="15" thickBot="1" x14ac:dyDescent="0.35">
      <c r="A84" s="563">
        <v>46081</v>
      </c>
      <c r="B84" s="346">
        <v>28</v>
      </c>
      <c r="C84" s="350" t="s">
        <v>311</v>
      </c>
      <c r="D84" s="351">
        <v>83</v>
      </c>
      <c r="E84" s="351" t="s">
        <v>77</v>
      </c>
      <c r="F84" s="441">
        <v>300</v>
      </c>
      <c r="G84" s="442">
        <v>4350</v>
      </c>
      <c r="H84" s="442">
        <v>1940</v>
      </c>
      <c r="I84" s="442">
        <v>45</v>
      </c>
      <c r="J84" s="442">
        <v>160</v>
      </c>
      <c r="K84" s="453">
        <v>17221</v>
      </c>
      <c r="L84" s="450">
        <v>320</v>
      </c>
      <c r="M84" s="328">
        <v>80</v>
      </c>
      <c r="N84" s="426">
        <v>150</v>
      </c>
      <c r="O84" s="457">
        <v>150</v>
      </c>
      <c r="P84" s="426">
        <v>40</v>
      </c>
      <c r="Q84" s="426">
        <v>5</v>
      </c>
      <c r="R84" s="427">
        <v>5</v>
      </c>
      <c r="S84" s="432">
        <v>195</v>
      </c>
      <c r="T84" s="433">
        <v>198.75</v>
      </c>
      <c r="U84" s="433">
        <v>50</v>
      </c>
      <c r="V84" s="443">
        <v>5</v>
      </c>
      <c r="W84" s="427">
        <v>5</v>
      </c>
      <c r="X84" s="444">
        <v>609.375</v>
      </c>
      <c r="Y84" s="443">
        <v>621.09375</v>
      </c>
      <c r="Z84" s="443">
        <v>156.25</v>
      </c>
      <c r="AA84" s="443">
        <v>15.625</v>
      </c>
      <c r="AB84" s="427">
        <v>15.625</v>
      </c>
      <c r="AC84" s="434">
        <v>1.3</v>
      </c>
      <c r="AD84" s="434">
        <v>1.325</v>
      </c>
      <c r="AE84" s="434">
        <v>1.25</v>
      </c>
      <c r="AF84" s="435">
        <v>2500</v>
      </c>
      <c r="AG84" s="436">
        <v>2500</v>
      </c>
      <c r="AH84" s="97">
        <v>830</v>
      </c>
      <c r="AI84" s="97">
        <v>2900</v>
      </c>
      <c r="AJ84" s="97">
        <v>6295</v>
      </c>
      <c r="AK84" s="97">
        <v>19050</v>
      </c>
      <c r="AL84" s="97">
        <v>22050</v>
      </c>
      <c r="AM84" s="445">
        <v>161850</v>
      </c>
      <c r="AN84" s="440">
        <v>576375</v>
      </c>
      <c r="AO84" s="440">
        <v>314750</v>
      </c>
      <c r="AP84" s="440">
        <v>95250</v>
      </c>
      <c r="AQ84" s="446">
        <v>110250</v>
      </c>
      <c r="AR84" s="445">
        <v>1258475</v>
      </c>
      <c r="AS84" s="440">
        <v>5250</v>
      </c>
      <c r="AT84" s="440">
        <v>3932.734375</v>
      </c>
      <c r="AU84" s="328">
        <f>IFERROR(Tabla1[[#This Row],[CAUDAL TOTAL TRATADO GEM ]]/Tabla1[[#This Row],[CAUDAL DE TRATAMIENTO]],0)</f>
        <v>4</v>
      </c>
    </row>
    <row r="85" spans="1:47" s="349" customFormat="1" ht="15" thickBot="1" x14ac:dyDescent="0.35">
      <c r="A85" s="564">
        <v>46081</v>
      </c>
      <c r="B85" s="346">
        <v>28</v>
      </c>
      <c r="C85" s="352" t="s">
        <v>30</v>
      </c>
      <c r="D85" s="353">
        <v>84</v>
      </c>
      <c r="E85" s="353" t="s">
        <v>76</v>
      </c>
      <c r="F85" s="441">
        <v>150</v>
      </c>
      <c r="G85" s="442">
        <v>4200</v>
      </c>
      <c r="H85" s="442">
        <v>1900</v>
      </c>
      <c r="I85" s="442">
        <v>40</v>
      </c>
      <c r="J85" s="442">
        <v>155</v>
      </c>
      <c r="K85" s="454">
        <v>17225</v>
      </c>
      <c r="L85" s="455">
        <v>240</v>
      </c>
      <c r="M85" s="330">
        <v>80</v>
      </c>
      <c r="N85" s="428">
        <v>0</v>
      </c>
      <c r="O85" s="458">
        <v>0</v>
      </c>
      <c r="P85" s="428">
        <v>0</v>
      </c>
      <c r="Q85" s="428">
        <v>0</v>
      </c>
      <c r="R85" s="429">
        <v>0</v>
      </c>
      <c r="S85" s="432">
        <v>0</v>
      </c>
      <c r="T85" s="433">
        <v>0</v>
      </c>
      <c r="U85" s="433">
        <v>0</v>
      </c>
      <c r="V85" s="447">
        <v>0</v>
      </c>
      <c r="W85" s="429">
        <v>0</v>
      </c>
      <c r="X85" s="444">
        <v>0</v>
      </c>
      <c r="Y85" s="447">
        <v>0</v>
      </c>
      <c r="Z85" s="447">
        <v>0</v>
      </c>
      <c r="AA85" s="447">
        <v>0</v>
      </c>
      <c r="AB85" s="429">
        <v>0</v>
      </c>
      <c r="AC85" s="434">
        <v>1.3</v>
      </c>
      <c r="AD85" s="434">
        <v>1.325</v>
      </c>
      <c r="AE85" s="434">
        <v>1.25</v>
      </c>
      <c r="AF85" s="435">
        <v>2500</v>
      </c>
      <c r="AG85" s="436">
        <v>2500</v>
      </c>
      <c r="AH85" s="97">
        <v>830</v>
      </c>
      <c r="AI85" s="97">
        <v>2900</v>
      </c>
      <c r="AJ85" s="97">
        <v>6295</v>
      </c>
      <c r="AK85" s="97">
        <v>19050</v>
      </c>
      <c r="AL85" s="97">
        <v>22050</v>
      </c>
      <c r="AM85" s="445">
        <v>0</v>
      </c>
      <c r="AN85" s="448">
        <v>0</v>
      </c>
      <c r="AO85" s="448">
        <v>0</v>
      </c>
      <c r="AP85" s="448">
        <v>0</v>
      </c>
      <c r="AQ85" s="449">
        <v>0</v>
      </c>
      <c r="AR85" s="445">
        <v>0</v>
      </c>
      <c r="AS85" s="448">
        <v>5250</v>
      </c>
      <c r="AT85" s="440">
        <v>0</v>
      </c>
      <c r="AU85" s="330">
        <f>IFERROR(Tabla1[[#This Row],[CAUDAL TOTAL TRATADO GEM ]]/Tabla1[[#This Row],[CAUDAL DE TRATAMIENTO]],0)</f>
        <v>3</v>
      </c>
    </row>
    <row r="86" spans="1:47" ht="15" thickBot="1" x14ac:dyDescent="0.35">
      <c r="A86" s="143">
        <v>46082</v>
      </c>
      <c r="B86" s="96">
        <v>29</v>
      </c>
      <c r="C86" s="320" t="s">
        <v>312</v>
      </c>
      <c r="D86" s="321">
        <v>85</v>
      </c>
      <c r="E86" s="321" t="s">
        <v>75</v>
      </c>
      <c r="F86" s="430">
        <v>150</v>
      </c>
      <c r="G86" s="431">
        <v>4200</v>
      </c>
      <c r="H86" s="431">
        <v>1900</v>
      </c>
      <c r="I86" s="431">
        <v>40</v>
      </c>
      <c r="J86" s="431">
        <v>155</v>
      </c>
      <c r="K86" s="451">
        <v>17228</v>
      </c>
      <c r="L86" s="452">
        <v>0</v>
      </c>
      <c r="M86" s="329">
        <v>80</v>
      </c>
      <c r="N86" s="424">
        <v>150</v>
      </c>
      <c r="O86" s="456">
        <v>4200</v>
      </c>
      <c r="P86" s="424">
        <v>1900</v>
      </c>
      <c r="Q86" s="424">
        <v>40</v>
      </c>
      <c r="R86" s="425">
        <v>155</v>
      </c>
      <c r="S86" s="432">
        <v>195</v>
      </c>
      <c r="T86" s="433">
        <v>5565</v>
      </c>
      <c r="U86" s="433">
        <v>2375</v>
      </c>
      <c r="V86" s="433">
        <v>40</v>
      </c>
      <c r="W86" s="425">
        <v>155</v>
      </c>
      <c r="X86" s="432" t="e">
        <v>#DIV/0!</v>
      </c>
      <c r="Y86" s="433" t="e">
        <v>#DIV/0!</v>
      </c>
      <c r="Z86" s="433" t="e">
        <v>#DIV/0!</v>
      </c>
      <c r="AA86" s="433" t="e">
        <v>#DIV/0!</v>
      </c>
      <c r="AB86" s="425" t="e">
        <v>#DIV/0!</v>
      </c>
      <c r="AC86" s="434">
        <v>1.3</v>
      </c>
      <c r="AD86" s="434">
        <v>1.325</v>
      </c>
      <c r="AE86" s="434">
        <v>1.25</v>
      </c>
      <c r="AF86" s="435">
        <v>2500</v>
      </c>
      <c r="AG86" s="436">
        <v>2500</v>
      </c>
      <c r="AH86" s="97">
        <v>830</v>
      </c>
      <c r="AI86" s="97">
        <v>2900</v>
      </c>
      <c r="AJ86" s="97">
        <v>6295</v>
      </c>
      <c r="AK86" s="97">
        <v>19050</v>
      </c>
      <c r="AL86" s="97">
        <v>22050</v>
      </c>
      <c r="AM86" s="437">
        <v>161850</v>
      </c>
      <c r="AN86" s="438">
        <v>16138500</v>
      </c>
      <c r="AO86" s="438">
        <v>14950625</v>
      </c>
      <c r="AP86" s="438">
        <v>762000</v>
      </c>
      <c r="AQ86" s="439">
        <v>3417750</v>
      </c>
      <c r="AR86" s="437">
        <v>35430725</v>
      </c>
      <c r="AS86" s="438">
        <v>5250</v>
      </c>
      <c r="AT86" s="440" t="e">
        <v>#DIV/0!</v>
      </c>
      <c r="AU86" s="329">
        <f>IFERROR(Tabla1[[#This Row],[CAUDAL TOTAL TRATADO GEM ]]/Tabla1[[#This Row],[CAUDAL DE TRATAMIENTO]],0)</f>
        <v>0</v>
      </c>
    </row>
    <row r="87" spans="1:47" ht="15" thickBot="1" x14ac:dyDescent="0.35">
      <c r="A87" s="563">
        <v>46082</v>
      </c>
      <c r="B87" s="96">
        <v>29</v>
      </c>
      <c r="C87" s="322" t="s">
        <v>313</v>
      </c>
      <c r="D87" s="323">
        <v>86</v>
      </c>
      <c r="E87" s="323" t="s">
        <v>77</v>
      </c>
      <c r="F87" s="441"/>
      <c r="G87" s="442"/>
      <c r="H87" s="442"/>
      <c r="I87" s="442"/>
      <c r="J87" s="442"/>
      <c r="K87" s="453">
        <v>17228</v>
      </c>
      <c r="L87" s="450">
        <v>0</v>
      </c>
      <c r="M87" s="328">
        <v>80</v>
      </c>
      <c r="N87" s="426">
        <v>0</v>
      </c>
      <c r="O87" s="457">
        <v>0</v>
      </c>
      <c r="P87" s="426">
        <v>0</v>
      </c>
      <c r="Q87" s="426">
        <v>0</v>
      </c>
      <c r="R87" s="427">
        <v>0</v>
      </c>
      <c r="S87" s="432">
        <v>0</v>
      </c>
      <c r="T87" s="433">
        <v>0</v>
      </c>
      <c r="U87" s="433">
        <v>0</v>
      </c>
      <c r="V87" s="443">
        <v>0</v>
      </c>
      <c r="W87" s="427">
        <v>0</v>
      </c>
      <c r="X87" s="444" t="e">
        <v>#DIV/0!</v>
      </c>
      <c r="Y87" s="443" t="e">
        <v>#DIV/0!</v>
      </c>
      <c r="Z87" s="443" t="e">
        <v>#DIV/0!</v>
      </c>
      <c r="AA87" s="443" t="e">
        <v>#DIV/0!</v>
      </c>
      <c r="AB87" s="427" t="e">
        <v>#DIV/0!</v>
      </c>
      <c r="AC87" s="434">
        <v>1.3</v>
      </c>
      <c r="AD87" s="434">
        <v>1.325</v>
      </c>
      <c r="AE87" s="434">
        <v>1.25</v>
      </c>
      <c r="AF87" s="435">
        <v>2500</v>
      </c>
      <c r="AG87" s="436">
        <v>2500</v>
      </c>
      <c r="AH87" s="97">
        <v>830</v>
      </c>
      <c r="AI87" s="97">
        <v>2900</v>
      </c>
      <c r="AJ87" s="97">
        <v>6295</v>
      </c>
      <c r="AK87" s="97">
        <v>19050</v>
      </c>
      <c r="AL87" s="97">
        <v>22050</v>
      </c>
      <c r="AM87" s="445">
        <v>0</v>
      </c>
      <c r="AN87" s="440">
        <v>0</v>
      </c>
      <c r="AO87" s="440">
        <v>0</v>
      </c>
      <c r="AP87" s="440">
        <v>0</v>
      </c>
      <c r="AQ87" s="446">
        <v>0</v>
      </c>
      <c r="AR87" s="445">
        <v>0</v>
      </c>
      <c r="AS87" s="440">
        <v>5250</v>
      </c>
      <c r="AT87" s="440" t="e">
        <v>#DIV/0!</v>
      </c>
      <c r="AU87" s="328">
        <f>IFERROR(Tabla1[[#This Row],[CAUDAL TOTAL TRATADO GEM ]]/Tabla1[[#This Row],[CAUDAL DE TRATAMIENTO]],0)</f>
        <v>0</v>
      </c>
    </row>
    <row r="88" spans="1:47" ht="15" thickBot="1" x14ac:dyDescent="0.35">
      <c r="A88" s="564">
        <v>46082</v>
      </c>
      <c r="B88" s="96">
        <v>29</v>
      </c>
      <c r="C88" s="324" t="s">
        <v>30</v>
      </c>
      <c r="D88" s="325">
        <v>87</v>
      </c>
      <c r="E88" s="325" t="s">
        <v>76</v>
      </c>
      <c r="F88" s="441"/>
      <c r="G88" s="442"/>
      <c r="H88" s="442"/>
      <c r="I88" s="442"/>
      <c r="J88" s="442"/>
      <c r="K88" s="454">
        <v>17228</v>
      </c>
      <c r="L88" s="455">
        <v>0</v>
      </c>
      <c r="M88" s="330">
        <v>80</v>
      </c>
      <c r="N88" s="428">
        <v>0</v>
      </c>
      <c r="O88" s="458">
        <v>0</v>
      </c>
      <c r="P88" s="428">
        <v>0</v>
      </c>
      <c r="Q88" s="428">
        <v>0</v>
      </c>
      <c r="R88" s="429">
        <v>0</v>
      </c>
      <c r="S88" s="432">
        <v>0</v>
      </c>
      <c r="T88" s="433">
        <v>0</v>
      </c>
      <c r="U88" s="433">
        <v>0</v>
      </c>
      <c r="V88" s="447">
        <v>0</v>
      </c>
      <c r="W88" s="429">
        <v>0</v>
      </c>
      <c r="X88" s="444" t="e">
        <v>#DIV/0!</v>
      </c>
      <c r="Y88" s="447" t="e">
        <v>#DIV/0!</v>
      </c>
      <c r="Z88" s="447" t="e">
        <v>#DIV/0!</v>
      </c>
      <c r="AA88" s="447" t="e">
        <v>#DIV/0!</v>
      </c>
      <c r="AB88" s="429" t="e">
        <v>#DIV/0!</v>
      </c>
      <c r="AC88" s="434">
        <v>1.3</v>
      </c>
      <c r="AD88" s="434">
        <v>1.325</v>
      </c>
      <c r="AE88" s="434">
        <v>1.25</v>
      </c>
      <c r="AF88" s="435">
        <v>2500</v>
      </c>
      <c r="AG88" s="436">
        <v>2500</v>
      </c>
      <c r="AH88" s="97">
        <v>830</v>
      </c>
      <c r="AI88" s="97">
        <v>2900</v>
      </c>
      <c r="AJ88" s="97">
        <v>6295</v>
      </c>
      <c r="AK88" s="97">
        <v>19050</v>
      </c>
      <c r="AL88" s="97">
        <v>22050</v>
      </c>
      <c r="AM88" s="445">
        <v>0</v>
      </c>
      <c r="AN88" s="448">
        <v>0</v>
      </c>
      <c r="AO88" s="448">
        <v>0</v>
      </c>
      <c r="AP88" s="448">
        <v>0</v>
      </c>
      <c r="AQ88" s="449">
        <v>0</v>
      </c>
      <c r="AR88" s="445">
        <v>0</v>
      </c>
      <c r="AS88" s="448">
        <v>5250</v>
      </c>
      <c r="AT88" s="440" t="e">
        <v>#DIV/0!</v>
      </c>
      <c r="AU88" s="330">
        <f>IFERROR(Tabla1[[#This Row],[CAUDAL TOTAL TRATADO GEM ]]/Tabla1[[#This Row],[CAUDAL DE TRATAMIENTO]],0)</f>
        <v>0</v>
      </c>
    </row>
    <row r="89" spans="1:47" ht="15" thickBot="1" x14ac:dyDescent="0.35">
      <c r="A89" s="143">
        <v>46083</v>
      </c>
      <c r="B89" s="96">
        <v>30</v>
      </c>
      <c r="C89" s="320" t="s">
        <v>314</v>
      </c>
      <c r="D89" s="321">
        <v>88</v>
      </c>
      <c r="E89" s="321" t="s">
        <v>75</v>
      </c>
      <c r="F89" s="430"/>
      <c r="G89" s="431"/>
      <c r="H89" s="431"/>
      <c r="I89" s="431"/>
      <c r="J89" s="431"/>
      <c r="K89" s="451">
        <v>17228</v>
      </c>
      <c r="L89" s="452">
        <v>-1378240</v>
      </c>
      <c r="M89" s="329">
        <v>80</v>
      </c>
      <c r="N89" s="424">
        <v>0</v>
      </c>
      <c r="O89" s="456">
        <v>0</v>
      </c>
      <c r="P89" s="424">
        <v>0</v>
      </c>
      <c r="Q89" s="424">
        <v>0</v>
      </c>
      <c r="R89" s="425">
        <v>0</v>
      </c>
      <c r="S89" s="432">
        <v>0</v>
      </c>
      <c r="T89" s="433">
        <v>0</v>
      </c>
      <c r="U89" s="433">
        <v>0</v>
      </c>
      <c r="V89" s="433">
        <v>0</v>
      </c>
      <c r="W89" s="425">
        <v>0</v>
      </c>
      <c r="X89" s="432">
        <v>0</v>
      </c>
      <c r="Y89" s="433">
        <v>0</v>
      </c>
      <c r="Z89" s="433">
        <v>0</v>
      </c>
      <c r="AA89" s="433">
        <v>0</v>
      </c>
      <c r="AB89" s="425">
        <v>0</v>
      </c>
      <c r="AC89" s="434">
        <v>1.3</v>
      </c>
      <c r="AD89" s="434">
        <v>1.325</v>
      </c>
      <c r="AE89" s="434">
        <v>1.25</v>
      </c>
      <c r="AF89" s="435">
        <v>2500</v>
      </c>
      <c r="AG89" s="436">
        <v>2500</v>
      </c>
      <c r="AH89" s="97">
        <v>830</v>
      </c>
      <c r="AI89" s="97">
        <v>2900</v>
      </c>
      <c r="AJ89" s="97">
        <v>6295</v>
      </c>
      <c r="AK89" s="97">
        <v>19050</v>
      </c>
      <c r="AL89" s="97">
        <v>22050</v>
      </c>
      <c r="AM89" s="437">
        <v>0</v>
      </c>
      <c r="AN89" s="438">
        <v>0</v>
      </c>
      <c r="AO89" s="438">
        <v>0</v>
      </c>
      <c r="AP89" s="438">
        <v>0</v>
      </c>
      <c r="AQ89" s="439">
        <v>0</v>
      </c>
      <c r="AR89" s="437">
        <v>0</v>
      </c>
      <c r="AS89" s="438">
        <v>5250</v>
      </c>
      <c r="AT89" s="440">
        <v>0</v>
      </c>
      <c r="AU89" s="329">
        <f>IFERROR(Tabla1[[#This Row],[CAUDAL TOTAL TRATADO GEM ]]/Tabla1[[#This Row],[CAUDAL DE TRATAMIENTO]],0)</f>
        <v>-17228</v>
      </c>
    </row>
    <row r="90" spans="1:47" ht="15" thickBot="1" x14ac:dyDescent="0.35">
      <c r="A90" s="563">
        <v>46083</v>
      </c>
      <c r="B90" s="96">
        <v>30</v>
      </c>
      <c r="C90" s="322" t="s">
        <v>315</v>
      </c>
      <c r="D90" s="323">
        <v>89</v>
      </c>
      <c r="E90" s="323" t="s">
        <v>77</v>
      </c>
      <c r="F90" s="441"/>
      <c r="G90" s="442"/>
      <c r="H90" s="442"/>
      <c r="I90" s="442"/>
      <c r="J90" s="442"/>
      <c r="K90" s="453"/>
      <c r="L90" s="450">
        <v>0</v>
      </c>
      <c r="M90" s="328">
        <v>80</v>
      </c>
      <c r="N90" s="426">
        <v>0</v>
      </c>
      <c r="O90" s="457">
        <v>0</v>
      </c>
      <c r="P90" s="426">
        <v>0</v>
      </c>
      <c r="Q90" s="426">
        <v>0</v>
      </c>
      <c r="R90" s="427">
        <v>0</v>
      </c>
      <c r="S90" s="432">
        <v>0</v>
      </c>
      <c r="T90" s="433">
        <v>0</v>
      </c>
      <c r="U90" s="433">
        <v>0</v>
      </c>
      <c r="V90" s="443">
        <v>0</v>
      </c>
      <c r="W90" s="427">
        <v>0</v>
      </c>
      <c r="X90" s="444" t="e">
        <v>#DIV/0!</v>
      </c>
      <c r="Y90" s="443" t="e">
        <v>#DIV/0!</v>
      </c>
      <c r="Z90" s="443" t="e">
        <v>#DIV/0!</v>
      </c>
      <c r="AA90" s="443" t="e">
        <v>#DIV/0!</v>
      </c>
      <c r="AB90" s="427" t="e">
        <v>#DIV/0!</v>
      </c>
      <c r="AC90" s="434">
        <v>1.3</v>
      </c>
      <c r="AD90" s="434">
        <v>1.325</v>
      </c>
      <c r="AE90" s="434">
        <v>1.25</v>
      </c>
      <c r="AF90" s="435">
        <v>2500</v>
      </c>
      <c r="AG90" s="436">
        <v>2500</v>
      </c>
      <c r="AH90" s="97">
        <v>830</v>
      </c>
      <c r="AI90" s="97">
        <v>2900</v>
      </c>
      <c r="AJ90" s="97">
        <v>6295</v>
      </c>
      <c r="AK90" s="97">
        <v>19050</v>
      </c>
      <c r="AL90" s="97">
        <v>22050</v>
      </c>
      <c r="AM90" s="445">
        <v>0</v>
      </c>
      <c r="AN90" s="440">
        <v>0</v>
      </c>
      <c r="AO90" s="440">
        <v>0</v>
      </c>
      <c r="AP90" s="440">
        <v>0</v>
      </c>
      <c r="AQ90" s="446">
        <v>0</v>
      </c>
      <c r="AR90" s="445">
        <v>0</v>
      </c>
      <c r="AS90" s="440">
        <v>5250</v>
      </c>
      <c r="AT90" s="440" t="e">
        <v>#DIV/0!</v>
      </c>
      <c r="AU90" s="328">
        <f>IFERROR(Tabla1[[#This Row],[CAUDAL TOTAL TRATADO GEM ]]/Tabla1[[#This Row],[CAUDAL DE TRATAMIENTO]],0)</f>
        <v>0</v>
      </c>
    </row>
    <row r="91" spans="1:47" ht="15" thickBot="1" x14ac:dyDescent="0.35">
      <c r="A91" s="564">
        <v>46083</v>
      </c>
      <c r="B91" s="96">
        <v>30</v>
      </c>
      <c r="C91" s="324" t="s">
        <v>30</v>
      </c>
      <c r="D91" s="325">
        <v>90</v>
      </c>
      <c r="E91" s="325" t="s">
        <v>76</v>
      </c>
      <c r="F91" s="441"/>
      <c r="G91" s="442"/>
      <c r="H91" s="442"/>
      <c r="I91" s="442"/>
      <c r="J91" s="442"/>
      <c r="K91" s="454"/>
      <c r="L91" s="455">
        <v>0</v>
      </c>
      <c r="M91" s="330">
        <v>80</v>
      </c>
      <c r="N91" s="428">
        <v>0</v>
      </c>
      <c r="O91" s="458">
        <v>0</v>
      </c>
      <c r="P91" s="428">
        <v>0</v>
      </c>
      <c r="Q91" s="428">
        <v>0</v>
      </c>
      <c r="R91" s="429">
        <v>0</v>
      </c>
      <c r="S91" s="432">
        <v>0</v>
      </c>
      <c r="T91" s="433">
        <v>0</v>
      </c>
      <c r="U91" s="433">
        <v>0</v>
      </c>
      <c r="V91" s="447">
        <v>0</v>
      </c>
      <c r="W91" s="429">
        <v>0</v>
      </c>
      <c r="X91" s="444" t="e">
        <v>#DIV/0!</v>
      </c>
      <c r="Y91" s="447" t="e">
        <v>#DIV/0!</v>
      </c>
      <c r="Z91" s="447" t="e">
        <v>#DIV/0!</v>
      </c>
      <c r="AA91" s="447" t="e">
        <v>#DIV/0!</v>
      </c>
      <c r="AB91" s="429" t="e">
        <v>#DIV/0!</v>
      </c>
      <c r="AC91" s="434">
        <v>1.3</v>
      </c>
      <c r="AD91" s="434">
        <v>1.325</v>
      </c>
      <c r="AE91" s="434">
        <v>1.25</v>
      </c>
      <c r="AF91" s="435">
        <v>2500</v>
      </c>
      <c r="AG91" s="436">
        <v>2500</v>
      </c>
      <c r="AH91" s="97">
        <v>830</v>
      </c>
      <c r="AI91" s="97">
        <v>2900</v>
      </c>
      <c r="AJ91" s="97">
        <v>6295</v>
      </c>
      <c r="AK91" s="97">
        <v>19050</v>
      </c>
      <c r="AL91" s="97">
        <v>22050</v>
      </c>
      <c r="AM91" s="445">
        <v>0</v>
      </c>
      <c r="AN91" s="448">
        <v>0</v>
      </c>
      <c r="AO91" s="448">
        <v>0</v>
      </c>
      <c r="AP91" s="448">
        <v>0</v>
      </c>
      <c r="AQ91" s="449">
        <v>0</v>
      </c>
      <c r="AR91" s="445">
        <v>0</v>
      </c>
      <c r="AS91" s="448">
        <v>5250</v>
      </c>
      <c r="AT91" s="440" t="e">
        <v>#DIV/0!</v>
      </c>
      <c r="AU91" s="330">
        <f>IFERROR(Tabla1[[#This Row],[CAUDAL TOTAL TRATADO GEM ]]/Tabla1[[#This Row],[CAUDAL DE TRATAMIENTO]],0)</f>
        <v>0</v>
      </c>
    </row>
    <row r="92" spans="1:47" ht="15" thickBot="1" x14ac:dyDescent="0.35">
      <c r="A92" s="143">
        <v>46084</v>
      </c>
      <c r="B92" s="96">
        <v>31</v>
      </c>
      <c r="C92" s="320" t="s">
        <v>316</v>
      </c>
      <c r="D92" s="321">
        <v>91</v>
      </c>
      <c r="E92" s="321" t="s">
        <v>75</v>
      </c>
      <c r="F92" s="430"/>
      <c r="G92" s="431"/>
      <c r="H92" s="431"/>
      <c r="I92" s="431"/>
      <c r="J92" s="431"/>
      <c r="K92" s="451"/>
      <c r="L92" s="452">
        <v>0</v>
      </c>
      <c r="M92" s="329">
        <v>80</v>
      </c>
      <c r="N92" s="424">
        <v>0</v>
      </c>
      <c r="O92" s="456">
        <v>0</v>
      </c>
      <c r="P92" s="424">
        <v>0</v>
      </c>
      <c r="Q92" s="424">
        <v>0</v>
      </c>
      <c r="R92" s="425">
        <v>0</v>
      </c>
      <c r="S92" s="432">
        <v>0</v>
      </c>
      <c r="T92" s="433">
        <v>0</v>
      </c>
      <c r="U92" s="433">
        <v>0</v>
      </c>
      <c r="V92" s="433">
        <v>0</v>
      </c>
      <c r="W92" s="425">
        <v>0</v>
      </c>
      <c r="X92" s="432" t="e">
        <v>#DIV/0!</v>
      </c>
      <c r="Y92" s="433" t="e">
        <v>#DIV/0!</v>
      </c>
      <c r="Z92" s="433" t="e">
        <v>#DIV/0!</v>
      </c>
      <c r="AA92" s="433" t="e">
        <v>#DIV/0!</v>
      </c>
      <c r="AB92" s="425" t="e">
        <v>#DIV/0!</v>
      </c>
      <c r="AC92" s="434">
        <v>1.3</v>
      </c>
      <c r="AD92" s="434">
        <v>1.325</v>
      </c>
      <c r="AE92" s="434">
        <v>1.25</v>
      </c>
      <c r="AF92" s="435">
        <v>2500</v>
      </c>
      <c r="AG92" s="436">
        <v>2500</v>
      </c>
      <c r="AH92" s="97">
        <v>830</v>
      </c>
      <c r="AI92" s="97">
        <v>2900</v>
      </c>
      <c r="AJ92" s="97">
        <v>6295</v>
      </c>
      <c r="AK92" s="97">
        <v>19050</v>
      </c>
      <c r="AL92" s="97">
        <v>22050</v>
      </c>
      <c r="AM92" s="437">
        <v>0</v>
      </c>
      <c r="AN92" s="438">
        <v>0</v>
      </c>
      <c r="AO92" s="438">
        <v>0</v>
      </c>
      <c r="AP92" s="438">
        <v>0</v>
      </c>
      <c r="AQ92" s="439">
        <v>0</v>
      </c>
      <c r="AR92" s="437">
        <v>0</v>
      </c>
      <c r="AS92" s="438">
        <v>5250</v>
      </c>
      <c r="AT92" s="440" t="e">
        <v>#DIV/0!</v>
      </c>
      <c r="AU92" s="329">
        <f>IFERROR(Tabla1[[#This Row],[CAUDAL TOTAL TRATADO GEM ]]/Tabla1[[#This Row],[CAUDAL DE TRATAMIENTO]],0)</f>
        <v>0</v>
      </c>
    </row>
    <row r="93" spans="1:47" ht="15" thickBot="1" x14ac:dyDescent="0.35">
      <c r="A93" s="563">
        <v>46084</v>
      </c>
      <c r="B93" s="96">
        <v>31</v>
      </c>
      <c r="C93" s="322" t="s">
        <v>317</v>
      </c>
      <c r="D93" s="323">
        <v>92</v>
      </c>
      <c r="E93" s="323" t="s">
        <v>77</v>
      </c>
      <c r="F93" s="441"/>
      <c r="G93" s="442"/>
      <c r="H93" s="442"/>
      <c r="I93" s="442"/>
      <c r="J93" s="442"/>
      <c r="K93" s="453"/>
      <c r="L93" s="450">
        <v>0</v>
      </c>
      <c r="M93" s="328">
        <v>80</v>
      </c>
      <c r="N93" s="426">
        <v>0</v>
      </c>
      <c r="O93" s="457">
        <v>0</v>
      </c>
      <c r="P93" s="426">
        <v>0</v>
      </c>
      <c r="Q93" s="426">
        <v>0</v>
      </c>
      <c r="R93" s="427">
        <v>0</v>
      </c>
      <c r="S93" s="432">
        <v>0</v>
      </c>
      <c r="T93" s="433">
        <v>0</v>
      </c>
      <c r="U93" s="433">
        <v>0</v>
      </c>
      <c r="V93" s="443">
        <v>0</v>
      </c>
      <c r="W93" s="427">
        <v>0</v>
      </c>
      <c r="X93" s="444" t="e">
        <v>#DIV/0!</v>
      </c>
      <c r="Y93" s="443" t="e">
        <v>#DIV/0!</v>
      </c>
      <c r="Z93" s="443" t="e">
        <v>#DIV/0!</v>
      </c>
      <c r="AA93" s="443" t="e">
        <v>#DIV/0!</v>
      </c>
      <c r="AB93" s="427" t="e">
        <v>#DIV/0!</v>
      </c>
      <c r="AC93" s="434">
        <v>1.3</v>
      </c>
      <c r="AD93" s="434">
        <v>1.325</v>
      </c>
      <c r="AE93" s="434">
        <v>1.25</v>
      </c>
      <c r="AF93" s="435">
        <v>2500</v>
      </c>
      <c r="AG93" s="436">
        <v>2500</v>
      </c>
      <c r="AH93" s="97">
        <v>830</v>
      </c>
      <c r="AI93" s="97">
        <v>2900</v>
      </c>
      <c r="AJ93" s="97">
        <v>6295</v>
      </c>
      <c r="AK93" s="97">
        <v>19050</v>
      </c>
      <c r="AL93" s="97">
        <v>22050</v>
      </c>
      <c r="AM93" s="445">
        <v>0</v>
      </c>
      <c r="AN93" s="440">
        <v>0</v>
      </c>
      <c r="AO93" s="440">
        <v>0</v>
      </c>
      <c r="AP93" s="440">
        <v>0</v>
      </c>
      <c r="AQ93" s="446">
        <v>0</v>
      </c>
      <c r="AR93" s="445">
        <v>0</v>
      </c>
      <c r="AS93" s="440">
        <v>5250</v>
      </c>
      <c r="AT93" s="440" t="e">
        <v>#DIV/0!</v>
      </c>
      <c r="AU93" s="328">
        <f>IFERROR(Tabla1[[#This Row],[CAUDAL TOTAL TRATADO GEM ]]/Tabla1[[#This Row],[CAUDAL DE TRATAMIENTO]],0)</f>
        <v>0</v>
      </c>
    </row>
    <row r="94" spans="1:47" s="349" customFormat="1" ht="15" thickBot="1" x14ac:dyDescent="0.35">
      <c r="A94" s="564">
        <v>46084</v>
      </c>
      <c r="B94" s="346">
        <v>31</v>
      </c>
      <c r="C94" s="352" t="s">
        <v>30</v>
      </c>
      <c r="D94" s="353">
        <v>93</v>
      </c>
      <c r="E94" s="353" t="s">
        <v>76</v>
      </c>
      <c r="F94" s="441"/>
      <c r="G94" s="442"/>
      <c r="H94" s="442"/>
      <c r="I94" s="442"/>
      <c r="J94" s="442"/>
      <c r="K94" s="454"/>
      <c r="L94" s="455">
        <v>0</v>
      </c>
      <c r="M94" s="330">
        <v>80</v>
      </c>
      <c r="N94" s="428">
        <v>0</v>
      </c>
      <c r="O94" s="428">
        <v>0</v>
      </c>
      <c r="P94" s="428">
        <v>0</v>
      </c>
      <c r="Q94" s="428">
        <v>0</v>
      </c>
      <c r="R94" s="428">
        <v>0</v>
      </c>
      <c r="S94" s="432">
        <v>0</v>
      </c>
      <c r="T94" s="433">
        <v>0</v>
      </c>
      <c r="U94" s="433">
        <v>0</v>
      </c>
      <c r="V94" s="447">
        <v>0</v>
      </c>
      <c r="W94" s="429">
        <v>0</v>
      </c>
      <c r="X94" s="444" t="e">
        <v>#DIV/0!</v>
      </c>
      <c r="Y94" s="447" t="e">
        <v>#DIV/0!</v>
      </c>
      <c r="Z94" s="447" t="e">
        <v>#DIV/0!</v>
      </c>
      <c r="AA94" s="447" t="e">
        <v>#DIV/0!</v>
      </c>
      <c r="AB94" s="429" t="e">
        <v>#DIV/0!</v>
      </c>
      <c r="AC94" s="434">
        <v>1.3</v>
      </c>
      <c r="AD94" s="434">
        <v>1.325</v>
      </c>
      <c r="AE94" s="434">
        <v>1.25</v>
      </c>
      <c r="AF94" s="435">
        <v>2500</v>
      </c>
      <c r="AG94" s="436">
        <v>2500</v>
      </c>
      <c r="AH94" s="97">
        <v>830</v>
      </c>
      <c r="AI94" s="97">
        <v>2900</v>
      </c>
      <c r="AJ94" s="97">
        <v>6295</v>
      </c>
      <c r="AK94" s="97">
        <v>19050</v>
      </c>
      <c r="AL94" s="97">
        <v>22050</v>
      </c>
      <c r="AM94" s="445">
        <v>0</v>
      </c>
      <c r="AN94" s="448">
        <v>0</v>
      </c>
      <c r="AO94" s="448">
        <v>0</v>
      </c>
      <c r="AP94" s="448">
        <v>0</v>
      </c>
      <c r="AQ94" s="449">
        <v>0</v>
      </c>
      <c r="AR94" s="445">
        <v>0</v>
      </c>
      <c r="AS94" s="448">
        <v>5250</v>
      </c>
      <c r="AT94" s="440" t="e">
        <v>#DIV/0!</v>
      </c>
      <c r="AU94" s="330">
        <f>IFERROR(Tabla1[[#This Row],[CAUDAL TOTAL TRATADO GEM ]]/Tabla1[[#This Row],[CAUDAL DE TRATAMIENTO]],0)</f>
        <v>0</v>
      </c>
    </row>
    <row r="95" spans="1:47" x14ac:dyDescent="0.3">
      <c r="A95" s="39"/>
      <c r="B95" s="115"/>
      <c r="C95" s="38"/>
      <c r="D95" s="67"/>
      <c r="E95" s="67"/>
      <c r="F95" s="293" t="s">
        <v>224</v>
      </c>
      <c r="G95" s="293" t="s">
        <v>225</v>
      </c>
      <c r="H95" s="293" t="s">
        <v>226</v>
      </c>
      <c r="I95" s="293" t="s">
        <v>227</v>
      </c>
      <c r="J95" s="293" t="s">
        <v>228</v>
      </c>
      <c r="K95" s="74"/>
      <c r="L95" s="305"/>
      <c r="M95" s="305"/>
      <c r="N95" s="38"/>
      <c r="O95" s="38"/>
      <c r="P95" s="38"/>
      <c r="Q95" s="38"/>
      <c r="R95" s="38"/>
      <c r="S95" s="116"/>
      <c r="T95" s="117"/>
      <c r="U95" s="117"/>
      <c r="V95" s="38"/>
      <c r="W95" s="38"/>
      <c r="X95" s="118"/>
      <c r="Y95" s="118"/>
      <c r="Z95" s="118"/>
      <c r="AA95" s="118"/>
      <c r="AB95" s="118"/>
      <c r="AC95" s="119"/>
      <c r="AD95" s="119"/>
      <c r="AE95" s="119"/>
      <c r="AF95" s="119"/>
      <c r="AG95" s="119"/>
      <c r="AH95" s="72"/>
      <c r="AI95" s="72"/>
      <c r="AJ95" s="72"/>
      <c r="AK95" s="72"/>
      <c r="AL95" s="72"/>
      <c r="AM95" s="393"/>
      <c r="AN95" s="120"/>
      <c r="AO95" s="120"/>
      <c r="AP95" s="120"/>
      <c r="AQ95" s="120"/>
      <c r="AR95" s="120"/>
      <c r="AS95" s="120">
        <f>SUM(AS2:AS37)</f>
        <v>189000</v>
      </c>
      <c r="AT95" s="120"/>
      <c r="AU95" s="305"/>
    </row>
    <row r="96" spans="1:47" x14ac:dyDescent="0.3">
      <c r="A96" s="39"/>
      <c r="B96" s="39"/>
      <c r="C96" s="38"/>
      <c r="D96" s="67"/>
      <c r="E96" s="67"/>
      <c r="F96" s="294"/>
      <c r="H96" s="294"/>
      <c r="I96" s="294"/>
      <c r="J96" s="294"/>
      <c r="K96" s="74"/>
      <c r="L96" s="305">
        <f>+SUM(L2:L13)</f>
        <v>4350</v>
      </c>
      <c r="M96" s="305"/>
      <c r="N96" s="91">
        <f>+SUM(N2:N88)</f>
        <v>8360</v>
      </c>
      <c r="O96" s="91">
        <f>+SUM(O2:O88)</f>
        <v>17180</v>
      </c>
      <c r="P96" s="91">
        <f>+SUM(P2:P87)</f>
        <v>5510</v>
      </c>
      <c r="Q96" s="91">
        <f>+SUM(Q2:Q87)</f>
        <v>205</v>
      </c>
      <c r="R96" s="91">
        <f>+SUM(R2:R87)</f>
        <v>480</v>
      </c>
      <c r="S96" s="309">
        <f>+SUM(S2:S93)</f>
        <v>10868</v>
      </c>
      <c r="T96" s="309">
        <f>+SUM(T2:T93)</f>
        <v>22763.5</v>
      </c>
      <c r="U96" s="309">
        <f>+SUM(U2:U93)</f>
        <v>6887.5</v>
      </c>
      <c r="V96" s="309">
        <f>+SUM(V2:V93)</f>
        <v>205</v>
      </c>
      <c r="W96" s="309">
        <f>+SUM(W2:W93)</f>
        <v>480</v>
      </c>
      <c r="X96" s="38"/>
      <c r="Y96" s="38"/>
      <c r="Z96" s="38"/>
      <c r="AA96" s="38"/>
      <c r="AB96" s="38"/>
      <c r="AN96" s="97">
        <f>+SUM(AN2:AN94)</f>
        <v>66014150</v>
      </c>
      <c r="AO96" s="97">
        <f>+SUM(AO2:AO94)</f>
        <v>43356812.5</v>
      </c>
      <c r="AP96" s="97">
        <f>+SUM(AP2:AP94)</f>
        <v>3905250</v>
      </c>
      <c r="AQ96" s="97">
        <f>+SUM(AQ2:AQ94)</f>
        <v>10584000</v>
      </c>
      <c r="AR96" s="97">
        <f>+SUM(AR2:AR94)</f>
        <v>132880652.5</v>
      </c>
      <c r="AS96" s="97"/>
      <c r="AU96" s="305"/>
    </row>
    <row r="97" spans="1:47" x14ac:dyDescent="0.3">
      <c r="A97" s="39"/>
      <c r="B97" s="39"/>
      <c r="C97" s="38"/>
      <c r="D97" s="67"/>
      <c r="E97" s="67"/>
      <c r="F97" s="294"/>
      <c r="G97" s="294"/>
      <c r="H97" s="294"/>
      <c r="I97" s="294"/>
      <c r="J97" s="294"/>
      <c r="K97" s="74"/>
      <c r="L97" s="305">
        <f>+SUM(L2:L13)</f>
        <v>4350</v>
      </c>
      <c r="M97" s="305"/>
      <c r="N97" s="38"/>
      <c r="O97" s="38"/>
      <c r="P97" s="91">
        <f>+MEDIAN(P2:P78)+2000</f>
        <v>2040</v>
      </c>
      <c r="Q97" s="38"/>
      <c r="R97" s="38"/>
      <c r="S97" s="68"/>
      <c r="T97" s="38"/>
      <c r="U97" s="38"/>
      <c r="V97" s="38"/>
      <c r="W97" s="38"/>
      <c r="X97" s="38"/>
      <c r="Y97" s="38"/>
      <c r="Z97" s="38"/>
      <c r="AA97" s="38"/>
      <c r="AB97" s="38"/>
      <c r="AS97">
        <f>+SUM(AS2:AS13)</f>
        <v>63000</v>
      </c>
      <c r="AU97" s="305"/>
    </row>
    <row r="98" spans="1:47" x14ac:dyDescent="0.3">
      <c r="A98" s="39"/>
      <c r="B98" s="39"/>
      <c r="C98" s="38"/>
      <c r="D98" s="67"/>
      <c r="E98" s="67"/>
      <c r="F98" s="294"/>
      <c r="G98" s="294"/>
      <c r="H98" s="294"/>
      <c r="I98" s="294"/>
      <c r="J98" s="294"/>
      <c r="K98" s="74"/>
      <c r="L98" s="296"/>
      <c r="M98" s="296"/>
      <c r="N98" s="38">
        <f>+N96*1.3</f>
        <v>10868</v>
      </c>
      <c r="O98" s="38">
        <f>+O96*1.325</f>
        <v>22763.5</v>
      </c>
      <c r="P98" s="38">
        <f>+P96*1.25</f>
        <v>6887.5</v>
      </c>
      <c r="Q98" s="38"/>
      <c r="R98" s="38"/>
      <c r="S98" s="68"/>
      <c r="T98" s="38"/>
      <c r="U98" s="38"/>
      <c r="V98" s="38"/>
      <c r="W98" s="38"/>
      <c r="X98" s="38"/>
      <c r="Y98" s="38"/>
      <c r="Z98" s="38"/>
      <c r="AA98" s="38"/>
      <c r="AB98" s="38"/>
      <c r="AU98" s="296"/>
    </row>
    <row r="99" spans="1:47" x14ac:dyDescent="0.3">
      <c r="S99" s="86">
        <f>+SUM(S2:S82)</f>
        <v>10244</v>
      </c>
      <c r="T99" s="86">
        <f>+SUM(T2:T82)</f>
        <v>16536</v>
      </c>
      <c r="U99" s="86">
        <f>+SUM(U2:U82)</f>
        <v>4275</v>
      </c>
      <c r="V99" s="86">
        <f>+SUM(V2:V82)</f>
        <v>160</v>
      </c>
      <c r="W99" s="86">
        <f>+SUM(W2:W82)</f>
        <v>315</v>
      </c>
    </row>
    <row r="100" spans="1:47" x14ac:dyDescent="0.3">
      <c r="L100" s="1">
        <v>29757</v>
      </c>
    </row>
    <row r="101" spans="1:47" x14ac:dyDescent="0.3">
      <c r="L101" s="311">
        <f>+L97-L100</f>
        <v>-25407</v>
      </c>
      <c r="M101" s="311"/>
      <c r="T101">
        <v>1882</v>
      </c>
      <c r="AU101" s="311"/>
    </row>
    <row r="102" spans="1:47" x14ac:dyDescent="0.3">
      <c r="L102" s="1">
        <v>2860</v>
      </c>
      <c r="T102" s="86">
        <f>+SUM(T99:T101)</f>
        <v>18418</v>
      </c>
    </row>
    <row r="103" spans="1:47" x14ac:dyDescent="0.3">
      <c r="L103" s="311">
        <f>+L101-L102</f>
        <v>-28267</v>
      </c>
      <c r="M103" s="311"/>
      <c r="AU103" s="311"/>
    </row>
    <row r="104" spans="1:47" x14ac:dyDescent="0.3">
      <c r="A104" t="s">
        <v>200</v>
      </c>
      <c r="B104">
        <v>71</v>
      </c>
    </row>
    <row r="105" spans="1:47" x14ac:dyDescent="0.3">
      <c r="P105">
        <f>80*3</f>
        <v>240</v>
      </c>
    </row>
  </sheetData>
  <protectedRanges>
    <protectedRange sqref="K1:M1" name="Rango1_3_1_1_2_2"/>
  </protectedRanges>
  <phoneticPr fontId="14" type="noConversion"/>
  <conditionalFormatting sqref="N1:W94 AT2:AT94">
    <cfRule type="cellIs" dxfId="8" priority="8" operator="lessThan">
      <formula>0</formula>
    </cfRule>
  </conditionalFormatting>
  <conditionalFormatting sqref="N95:W1048576">
    <cfRule type="cellIs" dxfId="7" priority="26" operator="lessThan">
      <formula>0</formula>
    </cfRule>
  </conditionalFormatting>
  <conditionalFormatting sqref="AM2:AQ94">
    <cfRule type="cellIs" dxfId="6" priority="6" operator="lessThan">
      <formula>0</formula>
    </cfRule>
  </conditionalFormatting>
  <conditionalFormatting sqref="AR2:AR3 AR5:AR6 AR8:AR9 AR11:AR12 AR14:AR15 AR17:AR18 AR20:AR21 AR23:AR24 AR26:AR27 AR29:AR30 AR32:AR33 AR35:AR36 AR38:AR39 AR41:AR42 AR44:AR45 AR47:AR48 AR50:AR51 AR53:AR54 AR56:AR57 AR59:AR60 AR62:AR63 AR65:AR66 AR68:AR69 AR71:AR72 AR74:AR75 AR77:AR78 AR80:AR81 AR83:AR84 AR86:AR87 AR89:AR90 AR92:AR93">
    <cfRule type="cellIs" dxfId="5" priority="5" operator="lessThan">
      <formula>0</formula>
    </cfRule>
  </conditionalFormatting>
  <conditionalFormatting sqref="AR4:AS4 AR7:AS7 AR10:AS10 AR13:AS13 AR16:AS16 AR19:AS19 AR22:AS22 AR25:AS25 AR28:AS28 AR31:AS31 AR34:AS34 AR37:AS37 AR40:AS40 AR43:AS43 AR46:AS46 AR49:AS49 AR52:AS52 AR55:AS55 AR58:AS58 AR61:AS61 AR64:AS64 AR67:AS67 AR70:AS70 AR73:AS73 AR76:AS76 AR79:AS79 AR82:AS82 AR85:AS85 AR88:AS88 AR91:AS91 AR94:AS94">
    <cfRule type="cellIs" dxfId="4" priority="4" operator="lessThan">
      <formula>0</formula>
    </cfRule>
  </conditionalFormatting>
  <conditionalFormatting sqref="AS2:AS3 AS5:AS6 AS8:AS9 AS11:AS12 AS14:AS15 AS17:AS18 AS20:AS21 AS23:AS24 AS26:AS27 AS29:AS30 AS32:AS33 AS35:AS36 AS38:AS39 AS41:AS42 AS44:AS45 AS47:AS48 AS50:AS51 AS53:AS54 AS56:AS57 AS59:AS60 AS62:AS63 AS65:AS66 AS68:AS69 AS71:AS72 AS74:AS75 AS77:AS78 AS80:AS81 AS83:AS84 AS86:AS87 AS89:AS90 AS92:AS93">
    <cfRule type="cellIs" dxfId="3" priority="1" operator="lessThan">
      <formula>0</formula>
    </cfRule>
  </conditionalFormatting>
  <conditionalFormatting sqref="AT1:AT94">
    <cfRule type="cellIs" dxfId="2" priority="7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BV108"/>
  <sheetViews>
    <sheetView tabSelected="1" zoomScale="85" zoomScaleNormal="85" workbookViewId="0">
      <selection activeCell="F3" sqref="F3"/>
    </sheetView>
  </sheetViews>
  <sheetFormatPr baseColWidth="10" defaultRowHeight="14.4" x14ac:dyDescent="0.3"/>
  <cols>
    <col min="1" max="25" width="21" style="110" customWidth="1"/>
    <col min="26" max="26" width="30.6640625" style="110" customWidth="1"/>
    <col min="27" max="28" width="19.44140625" style="110" customWidth="1"/>
    <col min="29" max="29" width="29.88671875" style="110" customWidth="1"/>
    <col min="30" max="30" width="25.5546875" style="110" customWidth="1"/>
    <col min="31" max="31" width="19.44140625" style="110" customWidth="1"/>
    <col min="32" max="32" width="21" style="110" customWidth="1"/>
    <col min="33" max="33" width="11.33203125" customWidth="1"/>
    <col min="34" max="34" width="30.88671875" customWidth="1"/>
    <col min="35" max="35" width="11.33203125" style="111"/>
    <col min="36" max="36" width="11.88671875" style="112" bestFit="1" customWidth="1"/>
    <col min="37" max="37" width="28.109375" style="112" bestFit="1" customWidth="1"/>
    <col min="38" max="38" width="15.6640625" style="113" bestFit="1" customWidth="1"/>
    <col min="39" max="39" width="14.5546875" style="113" bestFit="1" customWidth="1"/>
    <col min="40" max="40" width="14.44140625" style="113" bestFit="1" customWidth="1"/>
    <col min="41" max="41" width="11.6640625" style="113" customWidth="1"/>
    <col min="42" max="42" width="11.88671875" style="113" bestFit="1" customWidth="1"/>
    <col min="43" max="43" width="28.109375" style="113" bestFit="1" customWidth="1"/>
    <col min="44" max="44" width="20.6640625" style="113" bestFit="1" customWidth="1"/>
    <col min="45" max="45" width="12.6640625" style="113" customWidth="1"/>
    <col min="46" max="46" width="16.77734375" bestFit="1" customWidth="1"/>
    <col min="47" max="47" width="24.21875" bestFit="1" customWidth="1"/>
    <col min="48" max="48" width="18.6640625" bestFit="1" customWidth="1"/>
    <col min="49" max="49" width="29" style="249" customWidth="1"/>
    <col min="50" max="50" width="12.88671875" style="111" bestFit="1" customWidth="1"/>
    <col min="51" max="51" width="29.33203125" style="111" bestFit="1" customWidth="1"/>
    <col min="52" max="52" width="41.5546875" style="111" bestFit="1" customWidth="1"/>
    <col min="53" max="53" width="32.77734375" style="111" bestFit="1" customWidth="1"/>
    <col min="55" max="55" width="29.33203125" bestFit="1" customWidth="1"/>
    <col min="56" max="56" width="41.5546875" bestFit="1" customWidth="1"/>
    <col min="57" max="57" width="32.77734375" bestFit="1" customWidth="1"/>
    <col min="58" max="58" width="24.44140625" bestFit="1" customWidth="1"/>
    <col min="60" max="60" width="11.88671875" bestFit="1" customWidth="1"/>
    <col min="61" max="61" width="28.109375" bestFit="1" customWidth="1"/>
    <col min="62" max="62" width="20.109375" bestFit="1" customWidth="1"/>
    <col min="63" max="63" width="38.77734375" bestFit="1" customWidth="1"/>
    <col min="65" max="65" width="16.44140625" bestFit="1" customWidth="1"/>
    <col min="66" max="66" width="19.88671875" bestFit="1" customWidth="1"/>
    <col min="67" max="67" width="14.44140625" bestFit="1" customWidth="1"/>
    <col min="68" max="68" width="15.109375" bestFit="1" customWidth="1"/>
    <col min="69" max="69" width="19.109375" bestFit="1" customWidth="1"/>
    <col min="70" max="70" width="17.6640625" bestFit="1" customWidth="1"/>
    <col min="71" max="72" width="19.88671875" bestFit="1" customWidth="1"/>
  </cols>
  <sheetData>
    <row r="1" spans="1:74" ht="28.5" customHeight="1" x14ac:dyDescent="0.3">
      <c r="A1" s="613" t="s">
        <v>116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111"/>
      <c r="AH1" s="111"/>
      <c r="AJ1" s="612" t="s">
        <v>176</v>
      </c>
      <c r="AK1" s="612"/>
      <c r="AL1" s="612"/>
      <c r="AM1" s="612"/>
      <c r="AN1" s="111"/>
      <c r="AO1" s="111"/>
      <c r="AP1" s="111"/>
      <c r="AQ1" s="111"/>
      <c r="AR1" s="111"/>
      <c r="AS1" s="111"/>
      <c r="AT1" s="612" t="s">
        <v>177</v>
      </c>
      <c r="AU1" s="612"/>
      <c r="AV1" s="612"/>
      <c r="AW1" s="612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</row>
    <row r="2" spans="1:74" ht="25.8" x14ac:dyDescent="0.5">
      <c r="A2" s="250" t="s">
        <v>123</v>
      </c>
      <c r="B2" s="114" t="s">
        <v>119</v>
      </c>
      <c r="AG2" s="111"/>
      <c r="AH2" s="111"/>
      <c r="AS2" s="111"/>
      <c r="AT2" s="112"/>
      <c r="AU2" s="112"/>
      <c r="AV2" s="113"/>
      <c r="AW2" s="113"/>
      <c r="AX2" s="111" t="s">
        <v>178</v>
      </c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</row>
    <row r="3" spans="1:74" ht="21" x14ac:dyDescent="0.3">
      <c r="B3" s="614"/>
      <c r="C3" s="614"/>
      <c r="AG3" s="111"/>
      <c r="AH3" s="111"/>
      <c r="AS3" s="111"/>
      <c r="AT3" s="112"/>
      <c r="AU3" s="112"/>
      <c r="AV3" s="113"/>
      <c r="AW3" s="113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</row>
    <row r="4" spans="1:74" ht="21" x14ac:dyDescent="0.3">
      <c r="Z4" s="114" t="s">
        <v>120</v>
      </c>
      <c r="AA4" s="114"/>
      <c r="AG4" s="111"/>
      <c r="AH4" s="111"/>
      <c r="AJ4" s="518" t="s">
        <v>79</v>
      </c>
      <c r="AK4" s="553" t="s">
        <v>117</v>
      </c>
      <c r="AL4" s="553" t="s">
        <v>118</v>
      </c>
      <c r="AM4" s="554" t="s">
        <v>365</v>
      </c>
      <c r="AN4"/>
      <c r="AP4" s="518" t="s">
        <v>79</v>
      </c>
      <c r="AQ4" s="375" t="s">
        <v>329</v>
      </c>
      <c r="AR4" s="387" t="s">
        <v>364</v>
      </c>
      <c r="AS4" s="111"/>
      <c r="AT4" s="423" t="s">
        <v>175</v>
      </c>
      <c r="AU4" t="s">
        <v>172</v>
      </c>
      <c r="AV4" t="s">
        <v>173</v>
      </c>
      <c r="AW4" t="s">
        <v>174</v>
      </c>
      <c r="AY4" s="355" t="s">
        <v>336</v>
      </c>
      <c r="AZ4" t="s">
        <v>334</v>
      </c>
      <c r="BA4" t="s">
        <v>335</v>
      </c>
      <c r="BB4" s="111"/>
      <c r="BC4" s="355" t="s">
        <v>336</v>
      </c>
      <c r="BD4" t="s">
        <v>334</v>
      </c>
      <c r="BE4" t="s">
        <v>335</v>
      </c>
      <c r="BF4" t="s">
        <v>340</v>
      </c>
      <c r="BG4" s="111"/>
      <c r="BH4" s="135" t="s">
        <v>79</v>
      </c>
      <c r="BI4" s="375" t="s">
        <v>329</v>
      </c>
      <c r="BJ4" s="387" t="s">
        <v>341</v>
      </c>
      <c r="BL4" s="111"/>
      <c r="BU4" s="111"/>
      <c r="BV4" s="111"/>
    </row>
    <row r="5" spans="1:74" ht="23.4" x14ac:dyDescent="0.3">
      <c r="AG5" s="111"/>
      <c r="AH5" s="111"/>
      <c r="AJ5" s="566">
        <v>1</v>
      </c>
      <c r="AK5" s="567">
        <v>0</v>
      </c>
      <c r="AL5" s="567">
        <v>0</v>
      </c>
      <c r="AM5" s="562">
        <v>5250</v>
      </c>
      <c r="AN5"/>
      <c r="AP5" s="566">
        <v>1</v>
      </c>
      <c r="AQ5" s="567">
        <v>0</v>
      </c>
      <c r="AR5" s="567">
        <v>0</v>
      </c>
      <c r="AS5" s="111"/>
      <c r="AT5" s="560">
        <v>1</v>
      </c>
      <c r="AU5">
        <v>0</v>
      </c>
      <c r="AV5" s="561">
        <v>1000</v>
      </c>
      <c r="AW5" s="73">
        <v>0</v>
      </c>
      <c r="AY5" s="560">
        <v>1</v>
      </c>
      <c r="AZ5">
        <v>0</v>
      </c>
      <c r="BA5" s="374">
        <v>0</v>
      </c>
      <c r="BB5" s="111"/>
      <c r="BC5" s="560">
        <v>1</v>
      </c>
      <c r="BD5">
        <v>0</v>
      </c>
      <c r="BE5" s="374">
        <v>0</v>
      </c>
      <c r="BF5" s="264">
        <v>0</v>
      </c>
      <c r="BG5" s="111"/>
      <c r="BH5" s="566">
        <v>1</v>
      </c>
      <c r="BI5" s="567">
        <v>0</v>
      </c>
      <c r="BJ5" s="575">
        <v>0</v>
      </c>
      <c r="BL5" s="111"/>
      <c r="BU5" s="111"/>
      <c r="BV5" s="111"/>
    </row>
    <row r="6" spans="1:74" ht="23.4" x14ac:dyDescent="0.3">
      <c r="Z6" s="611" t="s">
        <v>332</v>
      </c>
      <c r="AA6" s="611"/>
      <c r="AB6" s="611"/>
      <c r="AC6" s="611"/>
      <c r="AD6" s="611"/>
      <c r="AG6" s="111"/>
      <c r="AH6" s="111"/>
      <c r="AJ6" s="566">
        <v>2</v>
      </c>
      <c r="AK6" s="567">
        <v>1125</v>
      </c>
      <c r="AL6" s="567">
        <v>4748.1533333333336</v>
      </c>
      <c r="AM6" s="562">
        <v>5250</v>
      </c>
      <c r="AN6"/>
      <c r="AP6" s="566">
        <v>2</v>
      </c>
      <c r="AQ6" s="567">
        <v>1125</v>
      </c>
      <c r="AR6" s="567">
        <v>15</v>
      </c>
      <c r="AS6" s="111"/>
      <c r="AT6" s="560">
        <v>2</v>
      </c>
      <c r="AU6">
        <v>257.44900000000001</v>
      </c>
      <c r="AV6" s="561">
        <v>1000</v>
      </c>
      <c r="AW6" s="73">
        <v>91</v>
      </c>
      <c r="AY6" s="560">
        <v>2</v>
      </c>
      <c r="AZ6">
        <v>257.44900000000001</v>
      </c>
      <c r="BA6" s="374">
        <v>4.680890909090909</v>
      </c>
      <c r="BB6" s="111"/>
      <c r="BC6" s="560">
        <v>2</v>
      </c>
      <c r="BD6">
        <v>257.44900000000001</v>
      </c>
      <c r="BE6" s="374">
        <v>4.680890909090909</v>
      </c>
      <c r="BF6" s="264">
        <v>23427.859</v>
      </c>
      <c r="BG6" s="111"/>
      <c r="BH6" s="566">
        <v>2</v>
      </c>
      <c r="BI6" s="567">
        <v>1125</v>
      </c>
      <c r="BJ6" s="567">
        <v>5341672.5</v>
      </c>
      <c r="BL6" s="111"/>
      <c r="BU6" s="111"/>
      <c r="BV6" s="111"/>
    </row>
    <row r="7" spans="1:74" ht="36" x14ac:dyDescent="0.3">
      <c r="Z7" s="371" t="s">
        <v>331</v>
      </c>
      <c r="AA7" s="371" t="s">
        <v>121</v>
      </c>
      <c r="AB7" s="371" t="s">
        <v>330</v>
      </c>
      <c r="AC7" s="371" t="s">
        <v>339</v>
      </c>
      <c r="AD7" s="371" t="s">
        <v>318</v>
      </c>
      <c r="AG7" s="111"/>
      <c r="AH7" s="111"/>
      <c r="AJ7" s="566">
        <v>3</v>
      </c>
      <c r="AK7" s="567">
        <v>1650</v>
      </c>
      <c r="AL7" s="567">
        <v>3732.7651515151515</v>
      </c>
      <c r="AM7" s="562">
        <v>5250</v>
      </c>
      <c r="AN7"/>
      <c r="AP7" s="566">
        <v>3</v>
      </c>
      <c r="AQ7" s="567">
        <v>1650</v>
      </c>
      <c r="AR7" s="567">
        <v>22</v>
      </c>
      <c r="AS7" s="111"/>
      <c r="AT7" s="560">
        <v>3</v>
      </c>
      <c r="AU7">
        <v>0</v>
      </c>
      <c r="AV7" s="561">
        <v>1000</v>
      </c>
      <c r="AW7" s="73">
        <v>0</v>
      </c>
      <c r="AY7" s="560">
        <v>3</v>
      </c>
      <c r="AZ7">
        <v>0</v>
      </c>
      <c r="BA7" s="374">
        <v>0</v>
      </c>
      <c r="BB7" s="111"/>
      <c r="BC7" s="560">
        <v>3</v>
      </c>
      <c r="BD7">
        <v>0</v>
      </c>
      <c r="BE7" s="374">
        <v>0</v>
      </c>
      <c r="BF7" s="264">
        <v>0</v>
      </c>
      <c r="BG7" s="111"/>
      <c r="BH7" s="566">
        <v>3</v>
      </c>
      <c r="BI7" s="567">
        <v>1650</v>
      </c>
      <c r="BJ7" s="567">
        <v>6159062.5</v>
      </c>
      <c r="BL7" s="111"/>
      <c r="BU7" s="111"/>
      <c r="BV7" s="111"/>
    </row>
    <row r="8" spans="1:74" ht="23.4" x14ac:dyDescent="0.45">
      <c r="Z8" s="121">
        <f>GETPIVOTDATA("  CAUDAL TOTAL TRATADO GEM ",$AJ$4)</f>
        <v>30080</v>
      </c>
      <c r="AA8" s="122">
        <f>AD8/Z8</f>
        <v>3239.6917386968084</v>
      </c>
      <c r="AB8" s="121">
        <f>Z8/80</f>
        <v>376</v>
      </c>
      <c r="AC8" s="372">
        <f>AD8/AB8</f>
        <v>259175.33909574468</v>
      </c>
      <c r="AD8" s="122">
        <f>GETPIVOTDATA("COSTO QUIMICA  GEM",$BH$4)</f>
        <v>97449927.5</v>
      </c>
      <c r="AG8" s="111"/>
      <c r="AH8" s="111"/>
      <c r="AJ8" s="566">
        <v>4</v>
      </c>
      <c r="AK8" s="567">
        <v>1575</v>
      </c>
      <c r="AL8" s="567">
        <v>3747.9793650793649</v>
      </c>
      <c r="AM8" s="562">
        <v>5250</v>
      </c>
      <c r="AN8"/>
      <c r="AP8" s="566">
        <v>4</v>
      </c>
      <c r="AQ8" s="567">
        <v>1575</v>
      </c>
      <c r="AR8" s="567">
        <v>21</v>
      </c>
      <c r="AS8" s="111"/>
      <c r="AT8" s="560">
        <v>4</v>
      </c>
      <c r="AU8">
        <v>0</v>
      </c>
      <c r="AV8" s="561">
        <v>1000</v>
      </c>
      <c r="AW8" s="73">
        <v>0</v>
      </c>
      <c r="AY8" s="560">
        <v>4</v>
      </c>
      <c r="AZ8">
        <v>0</v>
      </c>
      <c r="BA8" s="374">
        <v>0</v>
      </c>
      <c r="BB8" s="111"/>
      <c r="BC8" s="560">
        <v>4</v>
      </c>
      <c r="BD8">
        <v>0</v>
      </c>
      <c r="BE8" s="374">
        <v>0</v>
      </c>
      <c r="BF8" s="264">
        <v>0</v>
      </c>
      <c r="BG8" s="111"/>
      <c r="BH8" s="566">
        <v>4</v>
      </c>
      <c r="BI8" s="567">
        <v>1575</v>
      </c>
      <c r="BJ8" s="567">
        <v>5903067.5</v>
      </c>
      <c r="BL8" s="111"/>
      <c r="BU8" s="111"/>
      <c r="BV8" s="111"/>
    </row>
    <row r="9" spans="1:74" ht="23.4" x14ac:dyDescent="0.3">
      <c r="AG9" s="111"/>
      <c r="AH9" s="111"/>
      <c r="AJ9" s="566">
        <v>5</v>
      </c>
      <c r="AK9" s="567">
        <v>1500</v>
      </c>
      <c r="AL9" s="567">
        <v>2896.65</v>
      </c>
      <c r="AM9" s="562">
        <v>5250</v>
      </c>
      <c r="AN9"/>
      <c r="AP9" s="566">
        <v>5</v>
      </c>
      <c r="AQ9" s="567">
        <v>1500</v>
      </c>
      <c r="AR9" s="567">
        <v>20</v>
      </c>
      <c r="AS9" s="111"/>
      <c r="AT9" s="560">
        <v>5</v>
      </c>
      <c r="AU9">
        <v>278.22300000000001</v>
      </c>
      <c r="AV9" s="561">
        <v>1000</v>
      </c>
      <c r="AW9" s="73">
        <v>91</v>
      </c>
      <c r="AY9" s="560">
        <v>5</v>
      </c>
      <c r="AZ9">
        <v>278.22300000000001</v>
      </c>
      <c r="BA9" s="374">
        <v>5.0586000000000002</v>
      </c>
      <c r="BB9" s="111"/>
      <c r="BC9" s="560">
        <v>5</v>
      </c>
      <c r="BD9">
        <v>278.22300000000001</v>
      </c>
      <c r="BE9" s="374">
        <v>5.0586000000000002</v>
      </c>
      <c r="BF9" s="264">
        <v>25318.293000000001</v>
      </c>
      <c r="BG9" s="111"/>
      <c r="BH9" s="566">
        <v>5</v>
      </c>
      <c r="BI9" s="567">
        <v>1500</v>
      </c>
      <c r="BJ9" s="567">
        <v>4344975</v>
      </c>
      <c r="BL9" s="111"/>
      <c r="BU9" s="111"/>
      <c r="BV9" s="111"/>
    </row>
    <row r="10" spans="1:74" ht="23.4" x14ac:dyDescent="0.3">
      <c r="AG10" s="111"/>
      <c r="AH10" s="111"/>
      <c r="AJ10" s="566">
        <v>6</v>
      </c>
      <c r="AK10" s="567">
        <v>1350</v>
      </c>
      <c r="AL10" s="567">
        <v>4029.6759259259261</v>
      </c>
      <c r="AM10" s="562">
        <v>5250</v>
      </c>
      <c r="AN10"/>
      <c r="AP10" s="566">
        <v>6</v>
      </c>
      <c r="AQ10" s="567">
        <v>1350</v>
      </c>
      <c r="AR10" s="567">
        <v>18</v>
      </c>
      <c r="AS10" s="111"/>
      <c r="AT10" s="560">
        <v>6</v>
      </c>
      <c r="AU10">
        <v>579.81899999999996</v>
      </c>
      <c r="AV10" s="561">
        <v>1000</v>
      </c>
      <c r="AW10" s="73">
        <v>139.02466637879704</v>
      </c>
      <c r="AY10" s="560">
        <v>6</v>
      </c>
      <c r="AZ10">
        <v>579.81899999999996</v>
      </c>
      <c r="BA10" s="374">
        <v>10.542163636363636</v>
      </c>
      <c r="BB10" s="111"/>
      <c r="BC10" s="560">
        <v>6</v>
      </c>
      <c r="BD10">
        <v>579.81899999999996</v>
      </c>
      <c r="BE10" s="374">
        <v>10.542163636363636</v>
      </c>
      <c r="BF10" s="264">
        <v>80609.143035087705</v>
      </c>
      <c r="BG10" s="111"/>
      <c r="BH10" s="566">
        <v>6</v>
      </c>
      <c r="BI10" s="567">
        <v>1350</v>
      </c>
      <c r="BJ10" s="567">
        <v>5440062.5</v>
      </c>
      <c r="BL10" s="111"/>
      <c r="BU10" s="111"/>
      <c r="BV10" s="111"/>
    </row>
    <row r="11" spans="1:74" ht="23.4" x14ac:dyDescent="0.3">
      <c r="AG11" s="111"/>
      <c r="AH11" s="111"/>
      <c r="AJ11" s="566">
        <v>7</v>
      </c>
      <c r="AK11" s="567">
        <v>900</v>
      </c>
      <c r="AL11" s="567">
        <v>3415.6944444444443</v>
      </c>
      <c r="AM11" s="562">
        <v>5250</v>
      </c>
      <c r="AN11"/>
      <c r="AP11" s="566">
        <v>7</v>
      </c>
      <c r="AQ11" s="567">
        <v>900</v>
      </c>
      <c r="AR11" s="567">
        <v>12</v>
      </c>
      <c r="AS11" s="111"/>
      <c r="AT11" s="560">
        <v>7</v>
      </c>
      <c r="AU11">
        <v>293.51900000000001</v>
      </c>
      <c r="AV11" s="561">
        <v>1000</v>
      </c>
      <c r="AW11" s="73">
        <v>539.15153662009277</v>
      </c>
      <c r="AY11" s="560">
        <v>7</v>
      </c>
      <c r="AZ11">
        <v>293.51900000000001</v>
      </c>
      <c r="BA11" s="374">
        <v>5.3367090909090908</v>
      </c>
      <c r="BB11" s="111"/>
      <c r="BC11" s="560">
        <v>7</v>
      </c>
      <c r="BD11">
        <v>293.51900000000001</v>
      </c>
      <c r="BE11" s="374">
        <v>5.3367090909090908</v>
      </c>
      <c r="BF11" s="264">
        <v>158251.21987719301</v>
      </c>
      <c r="BG11" s="111"/>
      <c r="BH11" s="566">
        <v>7</v>
      </c>
      <c r="BI11" s="567">
        <v>900</v>
      </c>
      <c r="BJ11" s="567">
        <v>3074125</v>
      </c>
      <c r="BL11" s="111"/>
      <c r="BU11" s="111"/>
      <c r="BV11" s="111"/>
    </row>
    <row r="12" spans="1:74" ht="23.4" x14ac:dyDescent="0.3">
      <c r="AG12" s="111"/>
      <c r="AH12" s="111"/>
      <c r="AJ12" s="566">
        <v>8</v>
      </c>
      <c r="AK12" s="567">
        <v>0</v>
      </c>
      <c r="AL12" s="567">
        <v>0</v>
      </c>
      <c r="AM12" s="562">
        <v>5250</v>
      </c>
      <c r="AN12"/>
      <c r="AP12" s="566">
        <v>8</v>
      </c>
      <c r="AQ12" s="567">
        <v>0</v>
      </c>
      <c r="AR12" s="567">
        <v>0</v>
      </c>
      <c r="AS12" s="111"/>
      <c r="AT12" s="560">
        <v>8</v>
      </c>
      <c r="AU12">
        <v>560.61800000000005</v>
      </c>
      <c r="AV12" s="561">
        <v>1000</v>
      </c>
      <c r="AW12" s="73">
        <v>158.20983916683917</v>
      </c>
      <c r="AY12" s="560">
        <v>8</v>
      </c>
      <c r="AZ12">
        <v>560.61800000000005</v>
      </c>
      <c r="BA12" s="374">
        <v>10.193054545454546</v>
      </c>
      <c r="BB12" s="111"/>
      <c r="BC12" s="560">
        <v>8</v>
      </c>
      <c r="BD12">
        <v>560.61800000000005</v>
      </c>
      <c r="BE12" s="374">
        <v>10.193054545454546</v>
      </c>
      <c r="BF12" s="264">
        <v>88695.283614035056</v>
      </c>
      <c r="BG12" s="111"/>
      <c r="BH12" s="566">
        <v>8</v>
      </c>
      <c r="BI12" s="567">
        <v>0</v>
      </c>
      <c r="BJ12" s="567">
        <v>95250</v>
      </c>
      <c r="BL12" s="111"/>
      <c r="BU12" s="111"/>
      <c r="BV12" s="111"/>
    </row>
    <row r="13" spans="1:74" ht="23.4" x14ac:dyDescent="0.3">
      <c r="AG13" s="111"/>
      <c r="AH13" s="111"/>
      <c r="AJ13" s="566">
        <v>9</v>
      </c>
      <c r="AK13" s="567">
        <v>1350</v>
      </c>
      <c r="AL13" s="567">
        <v>3314.4259259259261</v>
      </c>
      <c r="AM13" s="562">
        <v>5250</v>
      </c>
      <c r="AN13"/>
      <c r="AP13" s="566">
        <v>9</v>
      </c>
      <c r="AQ13" s="567">
        <v>1350</v>
      </c>
      <c r="AR13" s="567">
        <v>18</v>
      </c>
      <c r="AS13" s="111"/>
      <c r="AT13" s="560">
        <v>9</v>
      </c>
      <c r="AU13">
        <v>346.26900000000001</v>
      </c>
      <c r="AV13" s="561">
        <v>1000</v>
      </c>
      <c r="AW13" s="73">
        <v>1512.4814534466234</v>
      </c>
      <c r="AY13" s="560">
        <v>9</v>
      </c>
      <c r="AZ13">
        <v>346.26900000000001</v>
      </c>
      <c r="BA13" s="374">
        <v>6.2957999999999998</v>
      </c>
      <c r="BB13" s="111"/>
      <c r="BC13" s="560">
        <v>9</v>
      </c>
      <c r="BD13">
        <v>346.26900000000001</v>
      </c>
      <c r="BE13" s="374">
        <v>6.2957999999999998</v>
      </c>
      <c r="BF13" s="264">
        <v>523725.44040350884</v>
      </c>
      <c r="BG13" s="111"/>
      <c r="BH13" s="566">
        <v>9</v>
      </c>
      <c r="BI13" s="567">
        <v>1350</v>
      </c>
      <c r="BJ13" s="567">
        <v>4474475</v>
      </c>
      <c r="BL13" s="111"/>
      <c r="BU13" s="111"/>
      <c r="BV13" s="111"/>
    </row>
    <row r="14" spans="1:74" ht="23.4" x14ac:dyDescent="0.3">
      <c r="AG14" s="111"/>
      <c r="AH14" s="111"/>
      <c r="AJ14" s="566">
        <v>10</v>
      </c>
      <c r="AK14" s="567">
        <v>1425</v>
      </c>
      <c r="AL14" s="567">
        <v>1834.9859649122807</v>
      </c>
      <c r="AM14" s="562">
        <v>5250</v>
      </c>
      <c r="AN14"/>
      <c r="AP14" s="566">
        <v>10</v>
      </c>
      <c r="AQ14" s="567">
        <v>1425</v>
      </c>
      <c r="AR14" s="567">
        <v>19</v>
      </c>
      <c r="AS14" s="111"/>
      <c r="AT14" s="560">
        <v>10</v>
      </c>
      <c r="AU14">
        <v>256.66700000000003</v>
      </c>
      <c r="AV14" s="561">
        <v>1000</v>
      </c>
      <c r="AW14" s="73">
        <v>129.31202133093603</v>
      </c>
      <c r="AY14" s="560">
        <v>10</v>
      </c>
      <c r="AZ14">
        <v>256.66700000000003</v>
      </c>
      <c r="BA14" s="374">
        <v>4.6666727272727275</v>
      </c>
      <c r="BB14" s="111"/>
      <c r="BC14" s="560">
        <v>10</v>
      </c>
      <c r="BD14">
        <v>256.66700000000003</v>
      </c>
      <c r="BE14" s="374">
        <v>4.6666727272727275</v>
      </c>
      <c r="BF14" s="264">
        <v>33190.128578947362</v>
      </c>
      <c r="BG14" s="111"/>
      <c r="BH14" s="566">
        <v>10</v>
      </c>
      <c r="BI14" s="567">
        <v>1425</v>
      </c>
      <c r="BJ14" s="567">
        <v>2614855</v>
      </c>
      <c r="BL14" s="111"/>
      <c r="BU14" s="111"/>
      <c r="BV14" s="111"/>
    </row>
    <row r="15" spans="1:74" x14ac:dyDescent="0.3">
      <c r="AG15" s="111"/>
      <c r="AH15" s="111"/>
      <c r="AJ15" s="566">
        <v>11</v>
      </c>
      <c r="AK15" s="567">
        <v>1275</v>
      </c>
      <c r="AL15" s="567">
        <v>2305.9705882352941</v>
      </c>
      <c r="AM15" s="562">
        <v>5250</v>
      </c>
      <c r="AN15"/>
      <c r="AP15" s="566">
        <v>11</v>
      </c>
      <c r="AQ15" s="567">
        <v>1275</v>
      </c>
      <c r="AR15" s="567">
        <v>17</v>
      </c>
      <c r="AS15" s="111"/>
      <c r="AT15" s="560">
        <v>11</v>
      </c>
      <c r="AU15">
        <v>0</v>
      </c>
      <c r="AV15" s="561">
        <v>1000</v>
      </c>
      <c r="AW15" s="73">
        <v>0</v>
      </c>
      <c r="AY15" s="560">
        <v>11</v>
      </c>
      <c r="AZ15">
        <v>0</v>
      </c>
      <c r="BA15" s="374">
        <v>0</v>
      </c>
      <c r="BB15" s="111"/>
      <c r="BC15" s="560">
        <v>11</v>
      </c>
      <c r="BD15">
        <v>0</v>
      </c>
      <c r="BE15" s="374">
        <v>0</v>
      </c>
      <c r="BF15" s="264">
        <v>105709.3894736842</v>
      </c>
      <c r="BG15" s="111"/>
      <c r="BH15" s="576">
        <v>11</v>
      </c>
      <c r="BI15" s="567">
        <v>1275</v>
      </c>
      <c r="BJ15" s="567">
        <v>2940112.5</v>
      </c>
      <c r="BL15" s="111"/>
      <c r="BU15" s="111"/>
      <c r="BV15" s="111"/>
    </row>
    <row r="16" spans="1:74" x14ac:dyDescent="0.3">
      <c r="AG16" s="111"/>
      <c r="AH16" s="111"/>
      <c r="AJ16" s="566">
        <v>12</v>
      </c>
      <c r="AK16" s="567">
        <v>1200</v>
      </c>
      <c r="AL16" s="567">
        <v>2339.7979166666669</v>
      </c>
      <c r="AM16" s="562">
        <v>5250</v>
      </c>
      <c r="AN16"/>
      <c r="AP16" s="566">
        <v>12</v>
      </c>
      <c r="AQ16" s="567">
        <v>1200</v>
      </c>
      <c r="AR16" s="567">
        <v>16</v>
      </c>
      <c r="AS16" s="111"/>
      <c r="AT16" s="560">
        <v>12</v>
      </c>
      <c r="AU16">
        <v>0</v>
      </c>
      <c r="AV16" s="561">
        <v>1000</v>
      </c>
      <c r="AW16" s="73">
        <v>0</v>
      </c>
      <c r="AY16" s="560">
        <v>12</v>
      </c>
      <c r="AZ16">
        <v>0</v>
      </c>
      <c r="BA16" s="374">
        <v>0</v>
      </c>
      <c r="BB16" s="111"/>
      <c r="BC16" s="560">
        <v>12</v>
      </c>
      <c r="BD16">
        <v>0</v>
      </c>
      <c r="BE16" s="374">
        <v>0</v>
      </c>
      <c r="BF16" s="264">
        <v>40151.58400000001</v>
      </c>
      <c r="BG16" s="111"/>
      <c r="BH16" s="566">
        <v>12</v>
      </c>
      <c r="BI16" s="567">
        <v>1200</v>
      </c>
      <c r="BJ16" s="567">
        <v>2807757.5</v>
      </c>
      <c r="BL16" s="111"/>
      <c r="BU16" s="111"/>
      <c r="BV16" s="111"/>
    </row>
    <row r="17" spans="1:74" x14ac:dyDescent="0.3">
      <c r="AG17" s="111"/>
      <c r="AH17" s="111"/>
      <c r="AJ17" s="566">
        <v>13</v>
      </c>
      <c r="AK17" s="567">
        <v>1125</v>
      </c>
      <c r="AL17" s="567">
        <v>3432.9355555555558</v>
      </c>
      <c r="AM17" s="562">
        <v>5250</v>
      </c>
      <c r="AN17"/>
      <c r="AP17" s="566">
        <v>13</v>
      </c>
      <c r="AQ17" s="567">
        <v>1125</v>
      </c>
      <c r="AR17" s="567">
        <v>15</v>
      </c>
      <c r="AS17" s="111"/>
      <c r="AT17" s="560">
        <v>13</v>
      </c>
      <c r="AU17">
        <v>153.40199999999999</v>
      </c>
      <c r="AV17" s="561">
        <v>1000</v>
      </c>
      <c r="AW17" s="73">
        <v>945.28690172387246</v>
      </c>
      <c r="AY17" s="560">
        <v>13</v>
      </c>
      <c r="AZ17">
        <v>153.40199999999999</v>
      </c>
      <c r="BA17" s="374">
        <v>2.7891272727272725</v>
      </c>
      <c r="BB17" s="111"/>
      <c r="BC17" s="560">
        <v>13</v>
      </c>
      <c r="BD17">
        <v>153.40199999999999</v>
      </c>
      <c r="BE17" s="374">
        <v>2.7891272727272725</v>
      </c>
      <c r="BF17" s="264">
        <v>145008.90129824547</v>
      </c>
      <c r="BG17" s="111"/>
      <c r="BH17" s="566">
        <v>13</v>
      </c>
      <c r="BI17" s="567">
        <v>1125</v>
      </c>
      <c r="BJ17" s="567">
        <v>3862052.5</v>
      </c>
      <c r="BL17" s="111"/>
      <c r="BU17" s="111"/>
      <c r="BV17" s="111"/>
    </row>
    <row r="18" spans="1:74" x14ac:dyDescent="0.3">
      <c r="AG18" s="111"/>
      <c r="AH18" s="111"/>
      <c r="AJ18" s="566">
        <v>14</v>
      </c>
      <c r="AK18" s="567">
        <v>1125</v>
      </c>
      <c r="AL18" s="567">
        <v>2265.1644444444446</v>
      </c>
      <c r="AM18" s="562">
        <v>5250</v>
      </c>
      <c r="AN18"/>
      <c r="AO18" s="111"/>
      <c r="AP18" s="566">
        <v>14</v>
      </c>
      <c r="AQ18" s="567">
        <v>1125</v>
      </c>
      <c r="AR18" s="567">
        <v>15</v>
      </c>
      <c r="AS18" s="111"/>
      <c r="AT18" s="560">
        <v>14</v>
      </c>
      <c r="AU18">
        <v>933.47800000000007</v>
      </c>
      <c r="AV18" s="561">
        <v>1000</v>
      </c>
      <c r="AW18" s="73">
        <v>332.63944814117724</v>
      </c>
      <c r="AY18" s="560">
        <v>14</v>
      </c>
      <c r="AZ18">
        <v>933.47800000000007</v>
      </c>
      <c r="BA18" s="374">
        <v>16.972327272727274</v>
      </c>
      <c r="BB18" s="111"/>
      <c r="BC18" s="560">
        <v>14</v>
      </c>
      <c r="BD18">
        <v>933.47800000000007</v>
      </c>
      <c r="BE18" s="374">
        <v>16.972327272727274</v>
      </c>
      <c r="BF18" s="264">
        <v>310511.60677192989</v>
      </c>
      <c r="BG18" s="111"/>
      <c r="BH18" s="566">
        <v>14</v>
      </c>
      <c r="BI18" s="567">
        <v>1125</v>
      </c>
      <c r="BJ18" s="567">
        <v>2548310</v>
      </c>
      <c r="BL18" s="111"/>
      <c r="BT18" s="111"/>
      <c r="BU18" s="111"/>
      <c r="BV18" s="111"/>
    </row>
    <row r="19" spans="1:74" ht="25.8" x14ac:dyDescent="0.5">
      <c r="A19" s="610" t="s">
        <v>179</v>
      </c>
      <c r="B19" s="610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AG19" s="111"/>
      <c r="AH19" s="111"/>
      <c r="AJ19" s="566">
        <v>15</v>
      </c>
      <c r="AK19" s="567">
        <v>0</v>
      </c>
      <c r="AL19" s="567">
        <v>0</v>
      </c>
      <c r="AM19" s="562">
        <v>5250</v>
      </c>
      <c r="AN19"/>
      <c r="AO19" s="111"/>
      <c r="AP19" s="566">
        <v>15</v>
      </c>
      <c r="AQ19" s="567">
        <v>0</v>
      </c>
      <c r="AR19" s="567">
        <v>0</v>
      </c>
      <c r="AS19" s="111"/>
      <c r="AT19" s="560">
        <v>15</v>
      </c>
      <c r="AU19">
        <v>1344.463</v>
      </c>
      <c r="AV19" s="561">
        <v>1000</v>
      </c>
      <c r="AW19" s="73">
        <v>234.16839028576615</v>
      </c>
      <c r="AY19" s="560">
        <v>15</v>
      </c>
      <c r="AZ19">
        <v>1344.463</v>
      </c>
      <c r="BA19" s="374">
        <v>24.44478181818182</v>
      </c>
      <c r="BB19" s="111"/>
      <c r="BC19" s="560">
        <v>15</v>
      </c>
      <c r="BD19">
        <v>1344.463</v>
      </c>
      <c r="BE19" s="374">
        <v>24.44478181818182</v>
      </c>
      <c r="BF19" s="264">
        <v>314830.73650877201</v>
      </c>
      <c r="BG19" s="111"/>
      <c r="BH19" s="566">
        <v>15</v>
      </c>
      <c r="BI19" s="567">
        <v>0</v>
      </c>
      <c r="BJ19" s="567">
        <v>0</v>
      </c>
      <c r="BL19" s="111"/>
      <c r="BT19" s="111"/>
      <c r="BU19" s="111"/>
      <c r="BV19" s="111"/>
    </row>
    <row r="20" spans="1:74" x14ac:dyDescent="0.3">
      <c r="AG20" s="111"/>
      <c r="AH20" s="111"/>
      <c r="AJ20" s="566">
        <v>16</v>
      </c>
      <c r="AK20" s="567">
        <v>1440</v>
      </c>
      <c r="AL20" s="567">
        <v>3873.9756944444443</v>
      </c>
      <c r="AM20" s="562">
        <v>5250</v>
      </c>
      <c r="AN20"/>
      <c r="AO20" s="111"/>
      <c r="AP20" s="566">
        <v>16</v>
      </c>
      <c r="AQ20" s="567">
        <v>1440</v>
      </c>
      <c r="AR20" s="567">
        <v>18</v>
      </c>
      <c r="AS20" s="111"/>
      <c r="AT20" s="560">
        <v>16</v>
      </c>
      <c r="AU20">
        <v>841.25300000000004</v>
      </c>
      <c r="AV20" s="561">
        <v>1000</v>
      </c>
      <c r="AW20" s="73">
        <v>213.67855836847883</v>
      </c>
      <c r="AY20" s="560">
        <v>16</v>
      </c>
      <c r="AZ20">
        <v>841.25300000000004</v>
      </c>
      <c r="BA20" s="374">
        <v>15.295509090909091</v>
      </c>
      <c r="BB20" s="111"/>
      <c r="BC20" s="560">
        <v>16</v>
      </c>
      <c r="BD20">
        <v>841.25300000000004</v>
      </c>
      <c r="BE20" s="374">
        <v>15.295509090909091</v>
      </c>
      <c r="BF20" s="264">
        <v>179757.72826315794</v>
      </c>
      <c r="BG20" s="111"/>
      <c r="BH20" s="566">
        <v>16</v>
      </c>
      <c r="BI20" s="567">
        <v>1440</v>
      </c>
      <c r="BJ20" s="567">
        <v>5578525</v>
      </c>
      <c r="BL20" s="111"/>
      <c r="BT20" s="111"/>
      <c r="BU20" s="111"/>
      <c r="BV20" s="111"/>
    </row>
    <row r="21" spans="1:74" ht="21" x14ac:dyDescent="0.3">
      <c r="Z21" s="114" t="s">
        <v>180</v>
      </c>
      <c r="AA21" s="114"/>
      <c r="AG21" s="111"/>
      <c r="AH21" s="111"/>
      <c r="AJ21" s="566">
        <v>17</v>
      </c>
      <c r="AK21" s="567">
        <v>1200</v>
      </c>
      <c r="AL21" s="567">
        <v>2261.71875</v>
      </c>
      <c r="AM21" s="562">
        <v>5250</v>
      </c>
      <c r="AN21"/>
      <c r="AO21" s="111"/>
      <c r="AP21" s="566">
        <v>17</v>
      </c>
      <c r="AQ21" s="567">
        <v>1200</v>
      </c>
      <c r="AR21" s="567">
        <v>15</v>
      </c>
      <c r="AS21" s="111"/>
      <c r="AT21" s="560">
        <v>17</v>
      </c>
      <c r="AU21">
        <v>463.25599999999997</v>
      </c>
      <c r="AV21" s="561">
        <v>1000</v>
      </c>
      <c r="AW21" s="73">
        <v>221.83034835954436</v>
      </c>
      <c r="AY21" s="560">
        <v>17</v>
      </c>
      <c r="AZ21">
        <v>463.25599999999997</v>
      </c>
      <c r="BA21" s="374">
        <v>8.4228363636363639</v>
      </c>
      <c r="BB21" s="111"/>
      <c r="BC21" s="560">
        <v>17</v>
      </c>
      <c r="BD21">
        <v>463.25599999999997</v>
      </c>
      <c r="BE21" s="374">
        <v>8.4228363636363639</v>
      </c>
      <c r="BF21" s="264">
        <v>102764.23985964908</v>
      </c>
      <c r="BG21" s="111"/>
      <c r="BH21" s="566">
        <v>17</v>
      </c>
      <c r="BI21" s="567">
        <v>1200</v>
      </c>
      <c r="BJ21" s="567">
        <v>2714062.5</v>
      </c>
      <c r="BL21" s="111"/>
      <c r="BT21" s="111"/>
      <c r="BU21" s="111"/>
      <c r="BV21" s="111"/>
    </row>
    <row r="22" spans="1:74" x14ac:dyDescent="0.3">
      <c r="AG22" s="111"/>
      <c r="AH22" s="111"/>
      <c r="AJ22" s="566">
        <v>18</v>
      </c>
      <c r="AK22" s="567">
        <v>960</v>
      </c>
      <c r="AL22" s="567">
        <v>2397.78125</v>
      </c>
      <c r="AM22" s="562">
        <v>5250</v>
      </c>
      <c r="AN22"/>
      <c r="AO22" s="111"/>
      <c r="AP22" s="566">
        <v>18</v>
      </c>
      <c r="AQ22" s="567">
        <v>960</v>
      </c>
      <c r="AR22" s="567">
        <v>12</v>
      </c>
      <c r="AS22" s="111"/>
      <c r="AT22" s="560">
        <v>18</v>
      </c>
      <c r="AU22">
        <v>0</v>
      </c>
      <c r="AV22" s="561">
        <v>1000</v>
      </c>
      <c r="AW22" s="73">
        <v>0</v>
      </c>
      <c r="AY22" s="560">
        <v>18</v>
      </c>
      <c r="AZ22">
        <v>0</v>
      </c>
      <c r="BA22" s="374">
        <v>0</v>
      </c>
      <c r="BB22" s="111"/>
      <c r="BC22" s="560">
        <v>18</v>
      </c>
      <c r="BD22">
        <v>0</v>
      </c>
      <c r="BE22" s="374">
        <v>0</v>
      </c>
      <c r="BF22" s="264">
        <v>4916.7157894736847</v>
      </c>
      <c r="BG22" s="111"/>
      <c r="BH22" s="566">
        <v>18</v>
      </c>
      <c r="BI22" s="567">
        <v>960</v>
      </c>
      <c r="BJ22" s="567">
        <v>2301870</v>
      </c>
      <c r="BL22" s="111"/>
      <c r="BT22" s="111"/>
      <c r="BU22" s="111"/>
      <c r="BV22" s="111"/>
    </row>
    <row r="23" spans="1:74" ht="22.2" x14ac:dyDescent="0.3">
      <c r="Z23" s="611" t="s">
        <v>333</v>
      </c>
      <c r="AA23" s="611"/>
      <c r="AB23" s="611"/>
      <c r="AC23" s="611"/>
      <c r="AD23" s="611"/>
      <c r="AG23" s="111"/>
      <c r="AH23" s="111"/>
      <c r="AJ23" s="566">
        <v>19</v>
      </c>
      <c r="AK23" s="567">
        <v>1200</v>
      </c>
      <c r="AL23" s="567">
        <v>2745.5250000000001</v>
      </c>
      <c r="AM23" s="562">
        <v>5250</v>
      </c>
      <c r="AN23"/>
      <c r="AO23" s="111"/>
      <c r="AP23" s="566">
        <v>19</v>
      </c>
      <c r="AQ23" s="567">
        <v>1200</v>
      </c>
      <c r="AR23" s="567">
        <v>15</v>
      </c>
      <c r="AS23" s="111"/>
      <c r="AT23" s="560">
        <v>19</v>
      </c>
      <c r="AU23">
        <v>257.33499999999998</v>
      </c>
      <c r="AV23" s="561">
        <v>1000</v>
      </c>
      <c r="AW23" s="73">
        <v>91.000000000000014</v>
      </c>
      <c r="AY23" s="560">
        <v>19</v>
      </c>
      <c r="AZ23">
        <v>257.33499999999998</v>
      </c>
      <c r="BA23" s="374">
        <v>4.6788181818181815</v>
      </c>
      <c r="BB23" s="111"/>
      <c r="BC23" s="560">
        <v>19</v>
      </c>
      <c r="BD23">
        <v>257.33499999999998</v>
      </c>
      <c r="BE23" s="374">
        <v>4.6788181818181815</v>
      </c>
      <c r="BF23" s="264">
        <v>23417.485000000001</v>
      </c>
      <c r="BG23" s="111"/>
      <c r="BH23" s="566">
        <v>19</v>
      </c>
      <c r="BI23" s="567">
        <v>1200</v>
      </c>
      <c r="BJ23" s="567">
        <v>3294630</v>
      </c>
      <c r="BL23" s="111"/>
      <c r="BT23" s="111"/>
      <c r="BU23" s="111"/>
      <c r="BV23" s="111"/>
    </row>
    <row r="24" spans="1:74" ht="36" x14ac:dyDescent="0.3">
      <c r="Z24" s="371" t="s">
        <v>181</v>
      </c>
      <c r="AA24" s="371" t="s">
        <v>121</v>
      </c>
      <c r="AB24" s="371" t="s">
        <v>330</v>
      </c>
      <c r="AC24" s="371" t="s">
        <v>338</v>
      </c>
      <c r="AD24" s="371" t="s">
        <v>318</v>
      </c>
      <c r="AG24" s="111"/>
      <c r="AH24" s="111"/>
      <c r="AJ24" s="566">
        <v>20</v>
      </c>
      <c r="AK24" s="567">
        <v>1360</v>
      </c>
      <c r="AL24" s="567">
        <v>2221.6636029411766</v>
      </c>
      <c r="AM24" s="562">
        <v>5250</v>
      </c>
      <c r="AN24"/>
      <c r="AO24" s="111"/>
      <c r="AP24" s="566">
        <v>20</v>
      </c>
      <c r="AQ24" s="567">
        <v>1360</v>
      </c>
      <c r="AR24" s="567">
        <v>17</v>
      </c>
      <c r="AS24" s="111"/>
      <c r="AT24" s="560">
        <v>20</v>
      </c>
      <c r="AU24">
        <v>596.75</v>
      </c>
      <c r="AV24" s="561">
        <v>1000</v>
      </c>
      <c r="AW24" s="73">
        <v>91</v>
      </c>
      <c r="AY24" s="560">
        <v>20</v>
      </c>
      <c r="AZ24">
        <v>596.75</v>
      </c>
      <c r="BA24" s="374">
        <v>10.85</v>
      </c>
      <c r="BB24" s="111"/>
      <c r="BC24" s="560">
        <v>20</v>
      </c>
      <c r="BD24">
        <v>596.75</v>
      </c>
      <c r="BE24" s="374">
        <v>10.85</v>
      </c>
      <c r="BF24" s="264">
        <v>54304.25</v>
      </c>
      <c r="BG24" s="111"/>
      <c r="BH24" s="566">
        <v>20</v>
      </c>
      <c r="BI24" s="567">
        <v>1360</v>
      </c>
      <c r="BJ24" s="567">
        <v>3021462.5</v>
      </c>
      <c r="BL24" s="111"/>
      <c r="BT24" s="111"/>
      <c r="BU24" s="111"/>
      <c r="BV24" s="111"/>
    </row>
    <row r="25" spans="1:74" ht="22.2" x14ac:dyDescent="0.45">
      <c r="Z25" s="121">
        <f>+GETPIVOTDATA(" VOLUMEN ENVIADO A RO (m3)",$AT$4)</f>
        <v>14633.578999999998</v>
      </c>
      <c r="AA25" s="272">
        <f>+AD25/Z25</f>
        <v>200.64992463745992</v>
      </c>
      <c r="AB25" s="377">
        <f>GETPIVOTDATA("TIEMPO DE OPERACIÓN",$AY$4)</f>
        <v>257.4234091287401</v>
      </c>
      <c r="AC25" s="372">
        <f>AD25/AB25</f>
        <v>11406.214118071439</v>
      </c>
      <c r="AD25" s="372">
        <f>GETPIVOTDATA("COSTO QUIMICA  ",$BC$4)</f>
        <v>2936226.5235263156</v>
      </c>
      <c r="AG25" s="111"/>
      <c r="AH25" s="111"/>
      <c r="AJ25" s="566">
        <v>21</v>
      </c>
      <c r="AK25" s="567">
        <v>880</v>
      </c>
      <c r="AL25" s="567">
        <v>4173.076704545455</v>
      </c>
      <c r="AM25" s="562">
        <v>5250</v>
      </c>
      <c r="AN25"/>
      <c r="AO25" s="111"/>
      <c r="AP25" s="566">
        <v>21</v>
      </c>
      <c r="AQ25" s="567">
        <v>880</v>
      </c>
      <c r="AR25" s="567">
        <v>11</v>
      </c>
      <c r="AT25" s="560">
        <v>21</v>
      </c>
      <c r="AU25">
        <v>907.61500000000001</v>
      </c>
      <c r="AV25" s="561">
        <v>1000</v>
      </c>
      <c r="AW25" s="73">
        <v>137.01997658988844</v>
      </c>
      <c r="AY25" s="560">
        <v>21</v>
      </c>
      <c r="AZ25">
        <v>907.61500000000001</v>
      </c>
      <c r="BA25" s="374">
        <v>16.502090909090906</v>
      </c>
      <c r="BB25" s="111"/>
      <c r="BC25" s="560">
        <v>21</v>
      </c>
      <c r="BD25">
        <v>907.61500000000001</v>
      </c>
      <c r="BE25" s="374">
        <v>16.502090909090906</v>
      </c>
      <c r="BF25" s="264">
        <v>124361.38605263161</v>
      </c>
      <c r="BG25" s="111"/>
      <c r="BH25" s="566">
        <v>21</v>
      </c>
      <c r="BI25" s="567">
        <v>880</v>
      </c>
      <c r="BJ25" s="567">
        <v>3672307.5</v>
      </c>
      <c r="BL25" s="111"/>
      <c r="BT25" s="111"/>
      <c r="BU25" s="111"/>
      <c r="BV25" s="111"/>
    </row>
    <row r="26" spans="1:74" x14ac:dyDescent="0.3">
      <c r="AG26" s="111"/>
      <c r="AH26" s="111"/>
      <c r="AJ26" s="566">
        <v>22</v>
      </c>
      <c r="AK26" s="567">
        <v>0</v>
      </c>
      <c r="AL26" s="567">
        <v>0</v>
      </c>
      <c r="AM26" s="562">
        <v>5250</v>
      </c>
      <c r="AN26"/>
      <c r="AO26" s="111"/>
      <c r="AP26" s="566">
        <v>22</v>
      </c>
      <c r="AQ26" s="567">
        <v>0</v>
      </c>
      <c r="AR26" s="567">
        <v>0</v>
      </c>
      <c r="AT26" s="560">
        <v>22</v>
      </c>
      <c r="AU26">
        <v>878.96100000000001</v>
      </c>
      <c r="AV26" s="561">
        <v>1000</v>
      </c>
      <c r="AW26" s="73">
        <v>91</v>
      </c>
      <c r="AY26" s="560">
        <v>22</v>
      </c>
      <c r="AZ26">
        <v>878.96100000000001</v>
      </c>
      <c r="BA26" s="374">
        <v>15.981109090909092</v>
      </c>
      <c r="BB26" s="111"/>
      <c r="BC26" s="560">
        <v>22</v>
      </c>
      <c r="BD26">
        <v>878.96100000000001</v>
      </c>
      <c r="BE26" s="374">
        <v>15.981109090909092</v>
      </c>
      <c r="BF26" s="264">
        <v>79985.451000000001</v>
      </c>
      <c r="BG26" s="111"/>
      <c r="BH26" s="566">
        <v>22</v>
      </c>
      <c r="BI26" s="567">
        <v>0</v>
      </c>
      <c r="BJ26" s="567">
        <v>614800</v>
      </c>
    </row>
    <row r="27" spans="1:74" x14ac:dyDescent="0.3">
      <c r="AG27" s="111"/>
      <c r="AH27" s="111"/>
      <c r="AJ27" s="566">
        <v>23</v>
      </c>
      <c r="AK27" s="567">
        <v>720</v>
      </c>
      <c r="AL27" s="567">
        <v>4786.760416666667</v>
      </c>
      <c r="AM27" s="562">
        <v>5250</v>
      </c>
      <c r="AN27"/>
      <c r="AO27" s="111"/>
      <c r="AP27" s="566">
        <v>23</v>
      </c>
      <c r="AQ27" s="567">
        <v>720</v>
      </c>
      <c r="AR27" s="567">
        <v>9</v>
      </c>
      <c r="AT27" s="560">
        <v>23</v>
      </c>
      <c r="AU27">
        <v>576.23099999999999</v>
      </c>
      <c r="AV27" s="561">
        <v>1000</v>
      </c>
      <c r="AW27" s="73">
        <v>91.000000000000014</v>
      </c>
      <c r="AY27" s="560">
        <v>23</v>
      </c>
      <c r="AZ27">
        <v>576.23099999999999</v>
      </c>
      <c r="BA27" s="374">
        <v>10.476927272727274</v>
      </c>
      <c r="BB27" s="111"/>
      <c r="BC27" s="560">
        <v>23</v>
      </c>
      <c r="BD27">
        <v>576.23099999999999</v>
      </c>
      <c r="BE27" s="374">
        <v>10.476927272727274</v>
      </c>
      <c r="BF27" s="264">
        <v>52437.021000000008</v>
      </c>
      <c r="BG27" s="111"/>
      <c r="BH27" s="566">
        <v>23</v>
      </c>
      <c r="BI27" s="567">
        <v>720</v>
      </c>
      <c r="BJ27" s="567">
        <v>3446467.5</v>
      </c>
    </row>
    <row r="28" spans="1:74" ht="21" x14ac:dyDescent="0.3">
      <c r="C28" s="114"/>
      <c r="AC28" s="378"/>
      <c r="AD28" s="378"/>
      <c r="AE28" s="378"/>
      <c r="AG28" s="111"/>
      <c r="AH28" s="111"/>
      <c r="AJ28" s="566">
        <v>24</v>
      </c>
      <c r="AK28" s="567">
        <v>1120</v>
      </c>
      <c r="AL28" s="567">
        <v>4312.2946428571431</v>
      </c>
      <c r="AM28" s="562">
        <v>5250</v>
      </c>
      <c r="AN28"/>
      <c r="AO28" s="111"/>
      <c r="AP28" s="566">
        <v>24</v>
      </c>
      <c r="AQ28" s="567">
        <v>1120</v>
      </c>
      <c r="AR28" s="567">
        <v>14</v>
      </c>
      <c r="AT28" s="560">
        <v>24</v>
      </c>
      <c r="AU28">
        <v>0</v>
      </c>
      <c r="AV28" s="561">
        <v>1000</v>
      </c>
      <c r="AW28" s="73">
        <v>0</v>
      </c>
      <c r="AY28" s="560">
        <v>24</v>
      </c>
      <c r="AZ28">
        <v>0</v>
      </c>
      <c r="BA28" s="374">
        <v>0</v>
      </c>
      <c r="BB28" s="111"/>
      <c r="BC28" s="560">
        <v>24</v>
      </c>
      <c r="BD28">
        <v>0</v>
      </c>
      <c r="BE28" s="374">
        <v>0</v>
      </c>
      <c r="BF28" s="264">
        <v>0</v>
      </c>
      <c r="BG28" s="111"/>
      <c r="BH28" s="566">
        <v>24</v>
      </c>
      <c r="BI28" s="567">
        <v>1120</v>
      </c>
      <c r="BJ28" s="567">
        <v>4829770</v>
      </c>
    </row>
    <row r="29" spans="1:74" x14ac:dyDescent="0.3">
      <c r="AG29" s="111"/>
      <c r="AH29" s="111"/>
      <c r="AJ29" s="566">
        <v>25</v>
      </c>
      <c r="AK29" s="567">
        <v>1440</v>
      </c>
      <c r="AL29" s="567">
        <v>3124.6493055555557</v>
      </c>
      <c r="AM29" s="562">
        <v>5250</v>
      </c>
      <c r="AN29"/>
      <c r="AO29" s="111"/>
      <c r="AP29" s="566">
        <v>25</v>
      </c>
      <c r="AQ29" s="567">
        <v>1440</v>
      </c>
      <c r="AR29" s="567">
        <v>18</v>
      </c>
      <c r="AT29" s="560">
        <v>25</v>
      </c>
      <c r="AU29">
        <v>0</v>
      </c>
      <c r="AV29" s="561">
        <v>1000</v>
      </c>
      <c r="AW29" s="73">
        <v>0</v>
      </c>
      <c r="AY29" s="560">
        <v>25</v>
      </c>
      <c r="AZ29">
        <v>0</v>
      </c>
      <c r="BA29" s="374">
        <v>0</v>
      </c>
      <c r="BB29" s="111"/>
      <c r="BC29" s="560">
        <v>25</v>
      </c>
      <c r="BD29">
        <v>0</v>
      </c>
      <c r="BE29" s="374">
        <v>0</v>
      </c>
      <c r="BF29" s="264">
        <v>0</v>
      </c>
      <c r="BG29" s="111"/>
      <c r="BH29" s="566">
        <v>25</v>
      </c>
      <c r="BI29" s="567">
        <v>1440</v>
      </c>
      <c r="BJ29" s="567">
        <v>4499495</v>
      </c>
      <c r="BK29" s="111"/>
    </row>
    <row r="30" spans="1:74" x14ac:dyDescent="0.3">
      <c r="AG30" s="111"/>
      <c r="AH30" s="111"/>
      <c r="AJ30" s="566">
        <v>26</v>
      </c>
      <c r="AK30" s="567">
        <v>1760</v>
      </c>
      <c r="AL30" s="567">
        <v>2749.6988636363635</v>
      </c>
      <c r="AM30" s="562">
        <v>5250</v>
      </c>
      <c r="AN30"/>
      <c r="AO30" s="111"/>
      <c r="AP30" s="566">
        <v>26</v>
      </c>
      <c r="AQ30" s="567">
        <v>1760</v>
      </c>
      <c r="AR30" s="567">
        <v>22</v>
      </c>
      <c r="AT30" s="560">
        <v>26</v>
      </c>
      <c r="AU30">
        <v>442.12</v>
      </c>
      <c r="AV30" s="561">
        <v>1000</v>
      </c>
      <c r="AW30" s="73">
        <v>91</v>
      </c>
      <c r="AY30" s="560">
        <v>26</v>
      </c>
      <c r="AZ30">
        <v>442.12</v>
      </c>
      <c r="BA30" s="374">
        <v>6.3159999999999989</v>
      </c>
      <c r="BB30" s="111"/>
      <c r="BC30" s="560">
        <v>26</v>
      </c>
      <c r="BD30">
        <v>442.12</v>
      </c>
      <c r="BE30" s="374">
        <v>6.3159999999999989</v>
      </c>
      <c r="BF30" s="264">
        <v>40232.92</v>
      </c>
      <c r="BG30" s="111"/>
      <c r="BH30" s="566">
        <v>26</v>
      </c>
      <c r="BI30" s="567">
        <v>1760</v>
      </c>
      <c r="BJ30" s="567">
        <v>4839470</v>
      </c>
      <c r="BK30" s="111"/>
    </row>
    <row r="31" spans="1:74" x14ac:dyDescent="0.3">
      <c r="AG31" s="111"/>
      <c r="AH31" s="111"/>
      <c r="AJ31" s="566">
        <v>27</v>
      </c>
      <c r="AK31" s="567">
        <v>1440</v>
      </c>
      <c r="AL31" s="567">
        <v>3432.7482638888887</v>
      </c>
      <c r="AM31" s="562">
        <v>5250</v>
      </c>
      <c r="AN31"/>
      <c r="AO31" s="111"/>
      <c r="AP31" s="566">
        <v>27</v>
      </c>
      <c r="AQ31" s="567">
        <v>1440</v>
      </c>
      <c r="AR31" s="567">
        <v>18</v>
      </c>
      <c r="AT31" s="560">
        <v>27</v>
      </c>
      <c r="AU31">
        <v>640.01800000000003</v>
      </c>
      <c r="AV31" s="561">
        <v>1000</v>
      </c>
      <c r="AW31" s="73">
        <v>91</v>
      </c>
      <c r="AY31" s="560">
        <v>27</v>
      </c>
      <c r="AZ31">
        <v>640.01800000000003</v>
      </c>
      <c r="BA31" s="374">
        <v>9.6972424242424253</v>
      </c>
      <c r="BB31" s="111"/>
      <c r="BC31" s="560">
        <v>27</v>
      </c>
      <c r="BD31">
        <v>640.01800000000003</v>
      </c>
      <c r="BE31" s="374">
        <v>9.6972424242424253</v>
      </c>
      <c r="BF31" s="264">
        <v>58241.638000000006</v>
      </c>
      <c r="BG31" s="111"/>
      <c r="BH31" s="566">
        <v>27</v>
      </c>
      <c r="BI31" s="567">
        <v>1440</v>
      </c>
      <c r="BJ31" s="567">
        <v>4943157.5</v>
      </c>
      <c r="BK31" s="111"/>
    </row>
    <row r="32" spans="1:74" x14ac:dyDescent="0.3">
      <c r="AG32" s="111"/>
      <c r="AH32" s="111"/>
      <c r="AJ32" s="566">
        <v>28</v>
      </c>
      <c r="AK32" s="567">
        <v>960</v>
      </c>
      <c r="AL32" s="567">
        <v>4258.471354166667</v>
      </c>
      <c r="AM32" s="562">
        <v>5250</v>
      </c>
      <c r="AN32"/>
      <c r="AO32" s="111"/>
      <c r="AP32" s="566">
        <v>28</v>
      </c>
      <c r="AQ32" s="567">
        <v>960</v>
      </c>
      <c r="AR32" s="567">
        <v>12</v>
      </c>
      <c r="AT32" s="560">
        <v>28</v>
      </c>
      <c r="AU32">
        <v>1038.94</v>
      </c>
      <c r="AV32" s="561">
        <v>1000</v>
      </c>
      <c r="AW32" s="73">
        <v>90.999999999999986</v>
      </c>
      <c r="AY32" s="560">
        <v>28</v>
      </c>
      <c r="AZ32">
        <v>1038.94</v>
      </c>
      <c r="BA32" s="374">
        <v>15.983692307692307</v>
      </c>
      <c r="BB32" s="111"/>
      <c r="BC32" s="560">
        <v>28</v>
      </c>
      <c r="BD32">
        <v>1038.94</v>
      </c>
      <c r="BE32" s="374">
        <v>15.983692307692307</v>
      </c>
      <c r="BF32" s="264">
        <v>94543.54</v>
      </c>
      <c r="BG32" s="111"/>
      <c r="BH32" s="566">
        <v>28</v>
      </c>
      <c r="BI32" s="567">
        <v>960</v>
      </c>
      <c r="BJ32" s="567">
        <v>4088132.5</v>
      </c>
      <c r="BK32" s="111"/>
    </row>
    <row r="33" spans="33:63" x14ac:dyDescent="0.3">
      <c r="AG33" s="111"/>
      <c r="AH33" s="111"/>
      <c r="AJ33" s="566" t="s">
        <v>72</v>
      </c>
      <c r="AK33" s="567">
        <v>30080</v>
      </c>
      <c r="AL33" s="567">
        <v>3239.6917386968084</v>
      </c>
      <c r="AM33" s="562">
        <v>5250</v>
      </c>
      <c r="AN33"/>
      <c r="AO33" s="111"/>
      <c r="AP33" s="566" t="s">
        <v>72</v>
      </c>
      <c r="AQ33" s="567">
        <v>30080</v>
      </c>
      <c r="AR33" s="567">
        <v>389</v>
      </c>
      <c r="AT33" s="560">
        <v>29</v>
      </c>
      <c r="AU33">
        <v>1064.713</v>
      </c>
      <c r="AV33" s="561">
        <v>1000</v>
      </c>
      <c r="AW33" s="73">
        <v>91</v>
      </c>
      <c r="AY33" s="560">
        <v>29</v>
      </c>
      <c r="AZ33">
        <v>1064.713</v>
      </c>
      <c r="BA33" s="374">
        <v>18.728119268600253</v>
      </c>
      <c r="BB33" s="111"/>
      <c r="BC33" s="560">
        <v>29</v>
      </c>
      <c r="BD33">
        <v>1064.713</v>
      </c>
      <c r="BE33" s="374">
        <v>18.728119268600253</v>
      </c>
      <c r="BF33" s="264">
        <v>96888.883000000002</v>
      </c>
      <c r="BG33" s="111"/>
      <c r="BH33" s="566" t="s">
        <v>72</v>
      </c>
      <c r="BI33" s="567">
        <v>30080</v>
      </c>
      <c r="BJ33" s="567">
        <v>97449927.5</v>
      </c>
      <c r="BK33" s="111"/>
    </row>
    <row r="34" spans="33:63" x14ac:dyDescent="0.3">
      <c r="AG34" s="111"/>
      <c r="AH34" s="111"/>
      <c r="AJ34"/>
      <c r="AK34"/>
      <c r="AL34"/>
      <c r="AM34"/>
      <c r="AN34"/>
      <c r="AO34" s="111"/>
      <c r="AP34"/>
      <c r="AQ34"/>
      <c r="AR34"/>
      <c r="AT34" s="560">
        <v>30</v>
      </c>
      <c r="AU34">
        <v>1257.1569999999999</v>
      </c>
      <c r="AV34" s="561">
        <v>1000</v>
      </c>
      <c r="AW34" s="73">
        <v>91</v>
      </c>
      <c r="AY34" s="560">
        <v>30</v>
      </c>
      <c r="AZ34">
        <v>1257.1569999999999</v>
      </c>
      <c r="BA34" s="374">
        <v>20.952616666666664</v>
      </c>
      <c r="BB34" s="111"/>
      <c r="BC34" s="560">
        <v>30</v>
      </c>
      <c r="BD34">
        <v>1257.1569999999999</v>
      </c>
      <c r="BE34" s="374">
        <v>20.952616666666664</v>
      </c>
      <c r="BF34" s="264">
        <v>114401.287</v>
      </c>
      <c r="BG34" s="111"/>
      <c r="BK34" s="111"/>
    </row>
    <row r="35" spans="33:63" x14ac:dyDescent="0.3">
      <c r="AG35" s="111"/>
      <c r="AH35" s="111"/>
      <c r="AJ35"/>
      <c r="AK35"/>
      <c r="AL35"/>
      <c r="AM35"/>
      <c r="AN35"/>
      <c r="AO35" s="111"/>
      <c r="AP35"/>
      <c r="AQ35"/>
      <c r="AR35"/>
      <c r="AT35" s="560">
        <v>31</v>
      </c>
      <c r="AU35">
        <v>665.32299999999998</v>
      </c>
      <c r="AV35" s="561">
        <v>1000</v>
      </c>
      <c r="AW35" s="73">
        <v>91.000000000000014</v>
      </c>
      <c r="AY35" s="560">
        <v>31</v>
      </c>
      <c r="AZ35">
        <v>665.32299999999998</v>
      </c>
      <c r="BA35" s="374">
        <v>12.558320279720281</v>
      </c>
      <c r="BB35" s="111"/>
      <c r="BC35" s="560">
        <v>31</v>
      </c>
      <c r="BD35">
        <v>665.32299999999998</v>
      </c>
      <c r="BE35" s="374">
        <v>12.558320279720281</v>
      </c>
      <c r="BF35" s="264">
        <v>60544.393000000004</v>
      </c>
      <c r="BG35" s="111"/>
      <c r="BK35" s="111"/>
    </row>
    <row r="36" spans="33:63" x14ac:dyDescent="0.3">
      <c r="AG36" s="111"/>
      <c r="AH36" s="111"/>
      <c r="AJ36"/>
      <c r="AK36"/>
      <c r="AL36"/>
      <c r="AM36"/>
      <c r="AN36"/>
      <c r="AO36" s="111"/>
      <c r="AP36"/>
      <c r="AQ36"/>
      <c r="AR36"/>
      <c r="AT36" s="560" t="s">
        <v>72</v>
      </c>
      <c r="AU36">
        <v>14633.578999999998</v>
      </c>
      <c r="AV36" s="561">
        <v>1000</v>
      </c>
      <c r="AW36" s="73">
        <v>200.64992463745992</v>
      </c>
      <c r="AY36" s="560" t="s">
        <v>72</v>
      </c>
      <c r="AZ36">
        <v>14633.579</v>
      </c>
      <c r="BA36" s="374">
        <v>257.4234091287401</v>
      </c>
      <c r="BB36" s="111"/>
      <c r="BC36" s="560" t="s">
        <v>72</v>
      </c>
      <c r="BD36">
        <v>14633.579</v>
      </c>
      <c r="BE36" s="374">
        <v>257.4234091287401</v>
      </c>
      <c r="BF36" s="264">
        <v>2936226.5235263156</v>
      </c>
      <c r="BG36" s="111"/>
      <c r="BK36" s="111"/>
    </row>
    <row r="37" spans="33:63" x14ac:dyDescent="0.3">
      <c r="AG37" s="111"/>
      <c r="AH37" s="111"/>
      <c r="AJ37" s="111"/>
      <c r="AK37" s="111"/>
      <c r="AL37" s="111"/>
      <c r="AM37" s="111"/>
      <c r="AN37" s="111"/>
      <c r="AO37" s="111"/>
      <c r="AP37"/>
      <c r="AQ37"/>
      <c r="AR37" s="111"/>
      <c r="AS37" s="111"/>
      <c r="AT37" s="111"/>
      <c r="AU37" s="111"/>
      <c r="AV37" s="111"/>
      <c r="AW37" s="111"/>
      <c r="AY37"/>
      <c r="AZ37"/>
      <c r="BA37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</row>
    <row r="38" spans="33:63" x14ac:dyDescent="0.3">
      <c r="AG38" s="111"/>
      <c r="AH38" s="111"/>
      <c r="AJ38" s="111"/>
      <c r="AK38" s="111"/>
      <c r="AL38" s="111"/>
      <c r="AM38" s="111"/>
      <c r="AN38" s="111"/>
      <c r="AO38" s="111"/>
      <c r="AP38"/>
      <c r="AQ38"/>
      <c r="AR38" s="111"/>
      <c r="AS38" s="111"/>
      <c r="AT38" s="111"/>
      <c r="AU38" s="111"/>
      <c r="AV38" s="111"/>
      <c r="AW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</row>
    <row r="39" spans="33:63" x14ac:dyDescent="0.3">
      <c r="AG39" s="111"/>
      <c r="AH39" s="111"/>
      <c r="AP39"/>
      <c r="AQ39"/>
      <c r="AR39" s="111"/>
      <c r="AT39" s="113"/>
      <c r="AU39" s="113"/>
      <c r="AV39" s="113"/>
      <c r="AW39" s="113"/>
      <c r="AX39" s="113"/>
      <c r="AY39" s="113"/>
      <c r="AZ39" s="113"/>
      <c r="BA39" s="113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</row>
    <row r="40" spans="33:63" x14ac:dyDescent="0.3">
      <c r="AG40" s="111"/>
      <c r="AH40" s="111"/>
      <c r="AP40"/>
      <c r="AQ40"/>
      <c r="AR40" s="111"/>
      <c r="AT40" s="113"/>
      <c r="AU40" s="113"/>
      <c r="AV40" s="113"/>
      <c r="AW40" s="113"/>
      <c r="AX40" s="113"/>
      <c r="AY40" s="113"/>
      <c r="AZ40" s="113"/>
      <c r="BA40" s="113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</row>
    <row r="41" spans="33:63" x14ac:dyDescent="0.3">
      <c r="AG41" s="111"/>
      <c r="AH41" s="111"/>
      <c r="AP41"/>
      <c r="AQ41"/>
      <c r="AR41" s="111"/>
      <c r="AT41" s="113"/>
      <c r="AU41" s="113"/>
      <c r="AV41" s="113"/>
      <c r="AW41" s="113"/>
      <c r="AX41" s="113"/>
      <c r="AY41" s="113"/>
      <c r="AZ41" s="113"/>
      <c r="BA41" s="113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</row>
    <row r="42" spans="33:63" x14ac:dyDescent="0.3">
      <c r="AG42" s="111"/>
      <c r="AH42" s="111"/>
      <c r="AP42"/>
      <c r="AQ42"/>
      <c r="AR42" s="111"/>
      <c r="AT42" s="113"/>
      <c r="AU42" s="113"/>
      <c r="AV42" s="113"/>
      <c r="AW42" s="113"/>
      <c r="AX42" s="113"/>
      <c r="AY42" s="113"/>
      <c r="AZ42" s="113"/>
      <c r="BA42" s="113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</row>
    <row r="43" spans="33:63" x14ac:dyDescent="0.3">
      <c r="AG43" s="111"/>
      <c r="AH43" s="111"/>
      <c r="AP43"/>
      <c r="AQ43"/>
      <c r="AR43" s="111"/>
      <c r="AT43" s="113"/>
      <c r="AU43" s="113"/>
      <c r="AV43" s="113"/>
      <c r="AW43" s="113"/>
      <c r="AX43" s="113"/>
      <c r="AY43" s="113"/>
      <c r="AZ43" s="113"/>
      <c r="BA43" s="113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</row>
    <row r="44" spans="33:63" x14ac:dyDescent="0.3">
      <c r="AG44" s="111"/>
      <c r="AH44" s="111"/>
      <c r="AP44"/>
      <c r="AQ44"/>
      <c r="AR44" s="111"/>
      <c r="AT44" s="113"/>
      <c r="AU44" s="113"/>
      <c r="AV44" s="113"/>
      <c r="AW44" s="113"/>
      <c r="AX44" s="113"/>
      <c r="AY44" s="113"/>
      <c r="AZ44" s="113"/>
      <c r="BA44" s="113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</row>
    <row r="45" spans="33:63" x14ac:dyDescent="0.3">
      <c r="AG45" s="111"/>
      <c r="AH45" s="111"/>
      <c r="AP45"/>
      <c r="AQ45"/>
      <c r="AR45" s="111"/>
      <c r="AT45" s="113"/>
      <c r="AU45" s="113"/>
      <c r="AV45" s="113"/>
      <c r="AW45" s="113"/>
      <c r="AX45" s="113"/>
      <c r="AY45" s="113"/>
      <c r="AZ45" s="113"/>
      <c r="BA45" s="113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</row>
    <row r="46" spans="33:63" x14ac:dyDescent="0.3">
      <c r="AG46" s="111"/>
      <c r="AH46" s="111"/>
      <c r="AP46"/>
      <c r="AQ46"/>
      <c r="AR46" s="111"/>
      <c r="AW46"/>
    </row>
    <row r="47" spans="33:63" x14ac:dyDescent="0.3">
      <c r="AG47" s="111"/>
      <c r="AH47" s="111"/>
      <c r="AP47"/>
      <c r="AQ47"/>
      <c r="AW47"/>
    </row>
    <row r="48" spans="33:63" x14ac:dyDescent="0.3">
      <c r="AG48" s="111"/>
      <c r="AH48" s="111"/>
      <c r="AP48"/>
      <c r="AQ48"/>
      <c r="AW48"/>
    </row>
    <row r="49" spans="2:49" x14ac:dyDescent="0.3">
      <c r="AG49" s="111"/>
      <c r="AH49" s="111"/>
      <c r="AP49"/>
      <c r="AQ49"/>
      <c r="AW49"/>
    </row>
    <row r="50" spans="2:49" x14ac:dyDescent="0.3">
      <c r="AG50" s="111"/>
      <c r="AH50" s="111"/>
      <c r="AP50"/>
      <c r="AQ50"/>
      <c r="AW50"/>
    </row>
    <row r="51" spans="2:49" x14ac:dyDescent="0.3">
      <c r="AG51" s="111"/>
      <c r="AH51" s="111"/>
      <c r="AP51"/>
      <c r="AQ51"/>
      <c r="AW51"/>
    </row>
    <row r="52" spans="2:49" x14ac:dyDescent="0.3">
      <c r="AG52" s="111"/>
      <c r="AH52" s="111"/>
      <c r="AP52"/>
      <c r="AQ52"/>
      <c r="AW52"/>
    </row>
    <row r="53" spans="2:49" x14ac:dyDescent="0.3">
      <c r="AG53" s="111"/>
      <c r="AH53" s="111"/>
      <c r="AP53"/>
      <c r="AQ53"/>
      <c r="AW53"/>
    </row>
    <row r="54" spans="2:49" x14ac:dyDescent="0.3"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AG54" s="111"/>
      <c r="AH54" s="111"/>
      <c r="AP54"/>
      <c r="AQ54"/>
      <c r="AW54"/>
    </row>
    <row r="55" spans="2:49" x14ac:dyDescent="0.3"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AG55" s="111"/>
      <c r="AH55" s="111"/>
      <c r="AP55"/>
      <c r="AQ55"/>
      <c r="AW55"/>
    </row>
    <row r="56" spans="2:49" x14ac:dyDescent="0.3">
      <c r="AG56" s="111"/>
      <c r="AH56" s="111"/>
      <c r="AP56"/>
      <c r="AQ56"/>
      <c r="AW56"/>
    </row>
    <row r="57" spans="2:49" x14ac:dyDescent="0.3">
      <c r="AG57" s="111"/>
      <c r="AH57" s="111"/>
      <c r="AP57"/>
      <c r="AQ57"/>
      <c r="AW57"/>
    </row>
    <row r="58" spans="2:49" x14ac:dyDescent="0.3"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AG58" s="111"/>
      <c r="AH58" s="111"/>
      <c r="AP58"/>
      <c r="AQ58"/>
      <c r="AW58"/>
    </row>
    <row r="59" spans="2:49" x14ac:dyDescent="0.3">
      <c r="AG59" s="111"/>
      <c r="AH59" s="111"/>
      <c r="AP59"/>
      <c r="AQ59"/>
      <c r="AW59"/>
    </row>
    <row r="60" spans="2:49" x14ac:dyDescent="0.3">
      <c r="AG60" s="111"/>
      <c r="AH60" s="111"/>
      <c r="AP60"/>
      <c r="AQ60"/>
      <c r="AW60"/>
    </row>
    <row r="61" spans="2:49" x14ac:dyDescent="0.3">
      <c r="AG61" s="111"/>
      <c r="AH61" s="111"/>
      <c r="AP61"/>
      <c r="AQ61"/>
      <c r="AW61"/>
    </row>
    <row r="62" spans="2:49" x14ac:dyDescent="0.3">
      <c r="AG62" s="111"/>
      <c r="AH62" s="111"/>
      <c r="AP62"/>
      <c r="AQ62"/>
      <c r="AW62"/>
    </row>
    <row r="63" spans="2:49" x14ac:dyDescent="0.3">
      <c r="AG63" s="111"/>
      <c r="AH63" s="111"/>
      <c r="AP63"/>
      <c r="AQ63"/>
      <c r="AW63"/>
    </row>
    <row r="64" spans="2:49" x14ac:dyDescent="0.3">
      <c r="AG64" s="111"/>
      <c r="AH64" s="111"/>
      <c r="AP64"/>
      <c r="AQ64"/>
      <c r="AW64"/>
    </row>
    <row r="65" spans="33:49" x14ac:dyDescent="0.3">
      <c r="AG65" s="111"/>
      <c r="AH65" s="111"/>
      <c r="AP65"/>
      <c r="AQ65"/>
      <c r="AW65"/>
    </row>
    <row r="66" spans="33:49" x14ac:dyDescent="0.3">
      <c r="AG66" s="111"/>
      <c r="AH66" s="111"/>
      <c r="AP66"/>
      <c r="AQ66"/>
      <c r="AW66"/>
    </row>
    <row r="67" spans="33:49" x14ac:dyDescent="0.3">
      <c r="AG67" s="111"/>
      <c r="AH67" s="111"/>
      <c r="AP67"/>
      <c r="AQ67"/>
      <c r="AW67"/>
    </row>
    <row r="68" spans="33:49" x14ac:dyDescent="0.3">
      <c r="AG68" s="111"/>
      <c r="AH68" s="111"/>
      <c r="AP68"/>
      <c r="AQ68"/>
    </row>
    <row r="69" spans="33:49" x14ac:dyDescent="0.3">
      <c r="AG69" s="111"/>
      <c r="AH69" s="111"/>
      <c r="AP69"/>
      <c r="AQ69"/>
    </row>
    <row r="70" spans="33:49" x14ac:dyDescent="0.3">
      <c r="AG70" s="111"/>
      <c r="AH70" s="111"/>
      <c r="AP70"/>
      <c r="AQ70"/>
    </row>
    <row r="71" spans="33:49" x14ac:dyDescent="0.3">
      <c r="AG71" s="111"/>
      <c r="AH71" s="111"/>
      <c r="AP71"/>
      <c r="AQ71"/>
    </row>
    <row r="72" spans="33:49" x14ac:dyDescent="0.3">
      <c r="AG72" s="111"/>
      <c r="AH72" s="111"/>
      <c r="AP72"/>
      <c r="AQ72"/>
    </row>
    <row r="73" spans="33:49" x14ac:dyDescent="0.3">
      <c r="AG73" s="111"/>
      <c r="AH73" s="111"/>
      <c r="AP73"/>
      <c r="AQ73"/>
    </row>
    <row r="74" spans="33:49" x14ac:dyDescent="0.3">
      <c r="AG74" s="111"/>
      <c r="AH74" s="111"/>
      <c r="AP74"/>
      <c r="AQ74"/>
    </row>
    <row r="75" spans="33:49" x14ac:dyDescent="0.3">
      <c r="AG75" s="111"/>
      <c r="AH75" s="111"/>
      <c r="AP75"/>
      <c r="AQ75"/>
    </row>
    <row r="76" spans="33:49" x14ac:dyDescent="0.3">
      <c r="AG76" s="111"/>
      <c r="AH76" s="111"/>
      <c r="AP76"/>
      <c r="AQ76"/>
    </row>
    <row r="77" spans="33:49" x14ac:dyDescent="0.3">
      <c r="AG77" s="111"/>
      <c r="AH77" s="111"/>
      <c r="AP77"/>
      <c r="AQ77"/>
    </row>
    <row r="78" spans="33:49" x14ac:dyDescent="0.3">
      <c r="AG78" s="111"/>
      <c r="AH78" s="111"/>
      <c r="AP78"/>
      <c r="AQ78"/>
    </row>
    <row r="79" spans="33:49" x14ac:dyDescent="0.3">
      <c r="AG79" s="111"/>
      <c r="AH79" s="111"/>
      <c r="AP79"/>
      <c r="AQ79"/>
    </row>
    <row r="80" spans="33:49" x14ac:dyDescent="0.3">
      <c r="AG80" s="111"/>
      <c r="AH80" s="111"/>
      <c r="AP80"/>
      <c r="AQ80"/>
    </row>
    <row r="81" spans="33:43" x14ac:dyDescent="0.3">
      <c r="AG81" s="111"/>
      <c r="AH81" s="111"/>
      <c r="AP81"/>
      <c r="AQ81"/>
    </row>
    <row r="82" spans="33:43" ht="30.6" customHeight="1" x14ac:dyDescent="0.3">
      <c r="AG82" s="111"/>
      <c r="AH82" s="111"/>
      <c r="AP82"/>
      <c r="AQ82"/>
    </row>
    <row r="83" spans="33:43" x14ac:dyDescent="0.3">
      <c r="AG83" s="111"/>
      <c r="AH83" s="111"/>
      <c r="AP83"/>
      <c r="AQ83"/>
    </row>
    <row r="84" spans="33:43" x14ac:dyDescent="0.3">
      <c r="AG84" s="111"/>
      <c r="AH84" s="111"/>
      <c r="AP84"/>
      <c r="AQ84"/>
    </row>
    <row r="85" spans="33:43" x14ac:dyDescent="0.3">
      <c r="AG85" s="111"/>
      <c r="AH85" s="111"/>
      <c r="AP85"/>
      <c r="AQ85"/>
    </row>
    <row r="86" spans="33:43" x14ac:dyDescent="0.3">
      <c r="AG86" s="111"/>
      <c r="AH86" s="111"/>
      <c r="AP86"/>
      <c r="AQ86"/>
    </row>
    <row r="87" spans="33:43" x14ac:dyDescent="0.3">
      <c r="AG87" s="111"/>
      <c r="AH87" s="111"/>
      <c r="AP87"/>
      <c r="AQ87"/>
    </row>
    <row r="88" spans="33:43" x14ac:dyDescent="0.3">
      <c r="AG88" s="111"/>
      <c r="AH88" s="111"/>
      <c r="AP88"/>
      <c r="AQ88"/>
    </row>
    <row r="89" spans="33:43" x14ac:dyDescent="0.3">
      <c r="AG89" s="111"/>
      <c r="AH89" s="111"/>
      <c r="AP89"/>
      <c r="AQ89"/>
    </row>
    <row r="90" spans="33:43" x14ac:dyDescent="0.3">
      <c r="AG90" s="111"/>
      <c r="AH90" s="111"/>
      <c r="AP90"/>
      <c r="AQ90"/>
    </row>
    <row r="91" spans="33:43" x14ac:dyDescent="0.3">
      <c r="AG91" s="111"/>
      <c r="AH91" s="111"/>
      <c r="AP91"/>
      <c r="AQ91"/>
    </row>
    <row r="92" spans="33:43" x14ac:dyDescent="0.3">
      <c r="AG92" s="111"/>
      <c r="AH92" s="111"/>
      <c r="AP92"/>
      <c r="AQ92"/>
    </row>
    <row r="93" spans="33:43" x14ac:dyDescent="0.3">
      <c r="AG93" s="111"/>
      <c r="AH93" s="111"/>
      <c r="AP93"/>
      <c r="AQ93"/>
    </row>
    <row r="94" spans="33:43" x14ac:dyDescent="0.3">
      <c r="AP94"/>
      <c r="AQ94"/>
    </row>
    <row r="95" spans="33:43" x14ac:dyDescent="0.3">
      <c r="AP95"/>
      <c r="AQ95"/>
    </row>
    <row r="96" spans="33:43" x14ac:dyDescent="0.3">
      <c r="AP96"/>
      <c r="AQ96"/>
    </row>
    <row r="97" spans="42:43" x14ac:dyDescent="0.3">
      <c r="AP97"/>
      <c r="AQ97"/>
    </row>
    <row r="98" spans="42:43" x14ac:dyDescent="0.3">
      <c r="AP98"/>
      <c r="AQ98"/>
    </row>
    <row r="99" spans="42:43" x14ac:dyDescent="0.3">
      <c r="AP99"/>
      <c r="AQ99"/>
    </row>
    <row r="100" spans="42:43" x14ac:dyDescent="0.3">
      <c r="AP100"/>
      <c r="AQ100"/>
    </row>
    <row r="101" spans="42:43" x14ac:dyDescent="0.3">
      <c r="AP101"/>
      <c r="AQ101"/>
    </row>
    <row r="102" spans="42:43" x14ac:dyDescent="0.3">
      <c r="AP102"/>
      <c r="AQ102"/>
    </row>
    <row r="103" spans="42:43" x14ac:dyDescent="0.3">
      <c r="AP103"/>
      <c r="AQ103"/>
    </row>
    <row r="104" spans="42:43" x14ac:dyDescent="0.3">
      <c r="AP104"/>
      <c r="AQ104"/>
    </row>
    <row r="105" spans="42:43" x14ac:dyDescent="0.3">
      <c r="AP105"/>
      <c r="AQ105"/>
    </row>
    <row r="106" spans="42:43" x14ac:dyDescent="0.3">
      <c r="AP106"/>
      <c r="AQ106"/>
    </row>
    <row r="107" spans="42:43" x14ac:dyDescent="0.3">
      <c r="AP107"/>
      <c r="AQ107"/>
    </row>
    <row r="108" spans="42:43" x14ac:dyDescent="0.3">
      <c r="AP108"/>
      <c r="AQ108"/>
    </row>
  </sheetData>
  <mergeCells count="7">
    <mergeCell ref="A19:B19"/>
    <mergeCell ref="Z23:AD23"/>
    <mergeCell ref="AT1:AW1"/>
    <mergeCell ref="AJ1:AM1"/>
    <mergeCell ref="A1:AF1"/>
    <mergeCell ref="B3:C3"/>
    <mergeCell ref="Z6:AD6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D4AD-0477-48F8-836A-570626F5284D}">
  <sheetPr>
    <tabColor rgb="FF00B050"/>
  </sheetPr>
  <dimension ref="A1:AZ106"/>
  <sheetViews>
    <sheetView topLeftCell="E1" zoomScale="70" zoomScaleNormal="70" workbookViewId="0">
      <selection activeCell="S14" sqref="S14"/>
    </sheetView>
  </sheetViews>
  <sheetFormatPr baseColWidth="10" defaultRowHeight="14.4" x14ac:dyDescent="0.3"/>
  <cols>
    <col min="2" max="4" width="16.77734375" customWidth="1"/>
    <col min="5" max="5" width="18.44140625" customWidth="1"/>
    <col min="6" max="8" width="16.77734375" customWidth="1"/>
    <col min="16" max="18" width="14.6640625" customWidth="1"/>
    <col min="19" max="19" width="15.33203125" bestFit="1" customWidth="1"/>
    <col min="20" max="20" width="18.44140625" bestFit="1" customWidth="1"/>
    <col min="22" max="22" width="16.21875" bestFit="1" customWidth="1"/>
    <col min="23" max="23" width="38.44140625" bestFit="1" customWidth="1"/>
    <col min="24" max="24" width="36.77734375" bestFit="1" customWidth="1"/>
    <col min="25" max="25" width="27.33203125" bestFit="1" customWidth="1"/>
    <col min="26" max="26" width="36.6640625" bestFit="1" customWidth="1"/>
    <col min="27" max="27" width="37.44140625" bestFit="1" customWidth="1"/>
    <col min="28" max="28" width="20.77734375" bestFit="1" customWidth="1"/>
    <col min="30" max="30" width="16.21875" bestFit="1" customWidth="1"/>
    <col min="31" max="31" width="21.33203125" bestFit="1" customWidth="1"/>
    <col min="32" max="32" width="18.77734375" bestFit="1" customWidth="1"/>
    <col min="33" max="33" width="21.5546875" bestFit="1" customWidth="1"/>
    <col min="34" max="35" width="22.44140625" bestFit="1" customWidth="1"/>
    <col min="36" max="36" width="14.88671875" bestFit="1" customWidth="1"/>
    <col min="38" max="38" width="16.21875" bestFit="1" customWidth="1"/>
    <col min="39" max="39" width="25" bestFit="1" customWidth="1"/>
    <col min="40" max="40" width="23.5546875" bestFit="1" customWidth="1"/>
    <col min="41" max="41" width="13.44140625" bestFit="1" customWidth="1"/>
    <col min="42" max="42" width="22.21875" bestFit="1" customWidth="1"/>
    <col min="43" max="43" width="24.109375" bestFit="1" customWidth="1"/>
    <col min="44" max="44" width="20.77734375" bestFit="1" customWidth="1"/>
    <col min="46" max="46" width="16.21875" bestFit="1" customWidth="1"/>
    <col min="47" max="47" width="14.77734375" bestFit="1" customWidth="1"/>
    <col min="48" max="48" width="14.109375" bestFit="1" customWidth="1"/>
    <col min="49" max="49" width="22.88671875" bestFit="1" customWidth="1"/>
    <col min="50" max="50" width="24.33203125" bestFit="1" customWidth="1"/>
    <col min="51" max="51" width="21.109375" bestFit="1" customWidth="1"/>
    <col min="52" max="52" width="21.77734375" bestFit="1" customWidth="1"/>
  </cols>
  <sheetData>
    <row r="1" spans="1:52" ht="43.2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355" t="s">
        <v>27</v>
      </c>
      <c r="W1" t="s">
        <v>366</v>
      </c>
      <c r="AD1" s="355" t="s">
        <v>27</v>
      </c>
      <c r="AE1" t="s">
        <v>366</v>
      </c>
      <c r="AL1" s="355" t="s">
        <v>27</v>
      </c>
      <c r="AM1" t="s">
        <v>366</v>
      </c>
      <c r="AV1" s="390" t="s">
        <v>61</v>
      </c>
      <c r="AW1" s="391" t="s">
        <v>62</v>
      </c>
      <c r="AX1" s="391" t="s">
        <v>63</v>
      </c>
      <c r="AY1" s="391" t="s">
        <v>64</v>
      </c>
      <c r="AZ1" s="391" t="s">
        <v>65</v>
      </c>
    </row>
    <row r="2" spans="1:52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AV2" s="392">
        <v>830</v>
      </c>
      <c r="AW2" s="392">
        <v>2900</v>
      </c>
      <c r="AX2" s="392">
        <v>6295</v>
      </c>
      <c r="AY2" s="392">
        <v>19050</v>
      </c>
      <c r="AZ2" s="392">
        <v>22050</v>
      </c>
    </row>
    <row r="3" spans="1:52" ht="28.8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V3" s="355" t="s">
        <v>79</v>
      </c>
      <c r="W3" t="s">
        <v>96</v>
      </c>
      <c r="X3" t="s">
        <v>95</v>
      </c>
      <c r="Y3" t="s">
        <v>232</v>
      </c>
      <c r="Z3" t="s">
        <v>93</v>
      </c>
      <c r="AA3" t="s">
        <v>233</v>
      </c>
      <c r="AB3" t="s">
        <v>234</v>
      </c>
      <c r="AD3" s="355" t="s">
        <v>79</v>
      </c>
      <c r="AE3" s="361" t="s">
        <v>239</v>
      </c>
      <c r="AF3" s="361" t="s">
        <v>238</v>
      </c>
      <c r="AG3" s="361" t="s">
        <v>235</v>
      </c>
      <c r="AH3" s="361" t="s">
        <v>236</v>
      </c>
      <c r="AI3" s="361" t="s">
        <v>237</v>
      </c>
      <c r="AJ3" s="361" t="s">
        <v>234</v>
      </c>
      <c r="AL3" s="355" t="s">
        <v>79</v>
      </c>
      <c r="AM3" t="s">
        <v>241</v>
      </c>
      <c r="AN3" t="s">
        <v>240</v>
      </c>
      <c r="AO3" t="s">
        <v>242</v>
      </c>
      <c r="AP3" t="s">
        <v>243</v>
      </c>
      <c r="AQ3" t="s">
        <v>244</v>
      </c>
      <c r="AR3" t="s">
        <v>234</v>
      </c>
      <c r="AT3" s="135" t="s">
        <v>79</v>
      </c>
      <c r="AU3" s="389" t="s">
        <v>230</v>
      </c>
      <c r="AV3" s="389" t="s">
        <v>357</v>
      </c>
      <c r="AW3" s="389" t="s">
        <v>358</v>
      </c>
      <c r="AX3" s="389" t="s">
        <v>359</v>
      </c>
      <c r="AY3" s="389" t="s">
        <v>360</v>
      </c>
      <c r="AZ3" s="389" t="s">
        <v>361</v>
      </c>
    </row>
    <row r="4" spans="1:52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605" t="s">
        <v>251</v>
      </c>
      <c r="Q4" s="605"/>
      <c r="R4" s="605"/>
      <c r="S4" s="605"/>
      <c r="T4" s="605"/>
      <c r="U4" s="70"/>
      <c r="V4" s="560">
        <v>1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73">
        <v>0</v>
      </c>
      <c r="AD4" s="560">
        <v>1</v>
      </c>
      <c r="AE4" s="86">
        <v>0</v>
      </c>
      <c r="AF4" s="86">
        <v>0</v>
      </c>
      <c r="AG4" s="86">
        <v>0</v>
      </c>
      <c r="AH4" s="86">
        <v>0</v>
      </c>
      <c r="AI4" s="86">
        <v>0</v>
      </c>
      <c r="AJ4" s="73">
        <v>0</v>
      </c>
      <c r="AL4" s="560">
        <v>1</v>
      </c>
      <c r="AM4" s="86">
        <v>0</v>
      </c>
      <c r="AN4" s="86">
        <v>0</v>
      </c>
      <c r="AO4" s="86">
        <v>0</v>
      </c>
      <c r="AP4" s="86">
        <v>0</v>
      </c>
      <c r="AQ4" s="86">
        <v>0</v>
      </c>
      <c r="AR4" s="73">
        <v>0</v>
      </c>
      <c r="AT4" s="566">
        <v>1</v>
      </c>
      <c r="AU4" s="388">
        <v>0</v>
      </c>
      <c r="AV4" s="388">
        <v>0</v>
      </c>
      <c r="AW4" s="388">
        <v>0</v>
      </c>
      <c r="AX4" s="388">
        <v>0</v>
      </c>
      <c r="AY4" s="388">
        <v>0</v>
      </c>
      <c r="AZ4" s="388">
        <v>0</v>
      </c>
    </row>
    <row r="5" spans="1:52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404"/>
      <c r="Q5" s="387" t="s">
        <v>250</v>
      </c>
      <c r="R5" s="387" t="s">
        <v>367</v>
      </c>
      <c r="S5" s="387" t="s">
        <v>368</v>
      </c>
      <c r="T5" s="387" t="s">
        <v>362</v>
      </c>
      <c r="U5" s="70"/>
      <c r="V5" s="560">
        <v>2</v>
      </c>
      <c r="W5" s="86">
        <v>3.3333333333333335</v>
      </c>
      <c r="X5" s="86">
        <v>0.55555555555555558</v>
      </c>
      <c r="Y5" s="86">
        <v>391.11111111111109</v>
      </c>
      <c r="Z5" s="86">
        <v>728.88888888888891</v>
      </c>
      <c r="AA5" s="86">
        <v>151.11111111111111</v>
      </c>
      <c r="AB5" s="73">
        <v>4748.1533333333336</v>
      </c>
      <c r="AD5" s="560">
        <v>2</v>
      </c>
      <c r="AE5" s="86">
        <v>15</v>
      </c>
      <c r="AF5" s="86">
        <v>2.5</v>
      </c>
      <c r="AG5" s="86">
        <v>440</v>
      </c>
      <c r="AH5" s="86">
        <v>820</v>
      </c>
      <c r="AI5" s="86">
        <v>170</v>
      </c>
      <c r="AJ5" s="73">
        <v>4748.1533333333336</v>
      </c>
      <c r="AL5" s="560">
        <v>2</v>
      </c>
      <c r="AM5" s="86">
        <v>15</v>
      </c>
      <c r="AN5" s="86">
        <v>2.5</v>
      </c>
      <c r="AO5" s="86">
        <v>572</v>
      </c>
      <c r="AP5" s="86">
        <v>1086.5</v>
      </c>
      <c r="AQ5" s="86">
        <v>212.5</v>
      </c>
      <c r="AR5" s="73">
        <v>4748.1533333333336</v>
      </c>
      <c r="AT5" s="566">
        <v>2</v>
      </c>
      <c r="AU5" s="388">
        <v>4748.1533333333336</v>
      </c>
      <c r="AV5" s="388">
        <v>422.00888888888886</v>
      </c>
      <c r="AW5" s="388">
        <v>2800.7555555555555</v>
      </c>
      <c r="AX5" s="388">
        <v>1189.0555555555557</v>
      </c>
      <c r="AY5" s="388">
        <v>42.333333333333336</v>
      </c>
      <c r="AZ5" s="388">
        <v>294</v>
      </c>
    </row>
    <row r="6" spans="1:52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404" t="s">
        <v>247</v>
      </c>
      <c r="Q6" s="405">
        <f>_xlfn.MINIFS(AA4:AA23,AA4:AA23,"&lt;&gt;0")</f>
        <v>17.777777777777779</v>
      </c>
      <c r="R6" s="405">
        <f>_xlfn.MINIFS(AI4:AI23,AI4:AI23,"&lt;&gt;0")</f>
        <v>20</v>
      </c>
      <c r="S6" s="405">
        <f>_xlfn.MINIFS(AQ4:AQ23,AQ4:AQ23,"&lt;&gt;0")</f>
        <v>25</v>
      </c>
      <c r="T6" s="407">
        <f>_xlfn.MINIFS(AX4:AX23,AX4:AX23,"&lt;&gt;0")</f>
        <v>139.88888888888889</v>
      </c>
      <c r="V6" s="560">
        <v>3</v>
      </c>
      <c r="W6" s="86">
        <v>1.5151515151515151</v>
      </c>
      <c r="X6" s="86">
        <v>1.1363636363636365</v>
      </c>
      <c r="Y6" s="86">
        <v>333.33333333333331</v>
      </c>
      <c r="Z6" s="86">
        <v>460.60606060606062</v>
      </c>
      <c r="AA6" s="86">
        <v>175.75757575757575</v>
      </c>
      <c r="AB6" s="73">
        <v>3732.7651515151515</v>
      </c>
      <c r="AD6" s="560">
        <v>3</v>
      </c>
      <c r="AE6" s="86">
        <v>10</v>
      </c>
      <c r="AF6" s="86">
        <v>7.5</v>
      </c>
      <c r="AG6" s="86">
        <v>550</v>
      </c>
      <c r="AH6" s="86">
        <v>760</v>
      </c>
      <c r="AI6" s="86">
        <v>290</v>
      </c>
      <c r="AJ6" s="73">
        <v>3732.7651515151515</v>
      </c>
      <c r="AL6" s="560">
        <v>3</v>
      </c>
      <c r="AM6" s="86">
        <v>10</v>
      </c>
      <c r="AN6" s="86">
        <v>7.5</v>
      </c>
      <c r="AO6" s="86">
        <v>715</v>
      </c>
      <c r="AP6" s="86">
        <v>1007</v>
      </c>
      <c r="AQ6" s="86">
        <v>362.5</v>
      </c>
      <c r="AR6" s="73">
        <v>3732.7651515151515</v>
      </c>
      <c r="AT6" s="566">
        <v>3</v>
      </c>
      <c r="AU6" s="388">
        <v>3732.7651515151515</v>
      </c>
      <c r="AV6" s="388">
        <v>359.66666666666669</v>
      </c>
      <c r="AW6" s="388">
        <v>1769.878787878788</v>
      </c>
      <c r="AX6" s="388">
        <v>1382.9924242424242</v>
      </c>
      <c r="AY6" s="388">
        <v>86.590909090909093</v>
      </c>
      <c r="AZ6" s="388">
        <v>133.63636363636363</v>
      </c>
    </row>
    <row r="7" spans="1:52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404" t="s">
        <v>248</v>
      </c>
      <c r="Q7" s="405">
        <f>MAX(AA4:AA23)</f>
        <v>208.33333333333334</v>
      </c>
      <c r="R7" s="405">
        <f>MAX(AI4:AI23)</f>
        <v>290</v>
      </c>
      <c r="S7" s="405">
        <f>MAX(AQ4:AQ23)</f>
        <v>362.5</v>
      </c>
      <c r="T7" s="407">
        <f>MAX(AX4:AX23)</f>
        <v>1639.3229166666667</v>
      </c>
      <c r="V7" s="560">
        <v>4</v>
      </c>
      <c r="W7" s="86">
        <v>0</v>
      </c>
      <c r="X7" s="86">
        <v>0</v>
      </c>
      <c r="Y7" s="86">
        <v>552.38095238095241</v>
      </c>
      <c r="Z7" s="86">
        <v>495.23809523809524</v>
      </c>
      <c r="AA7" s="86">
        <v>158.73015873015873</v>
      </c>
      <c r="AB7" s="73">
        <v>3747.9793650793649</v>
      </c>
      <c r="AD7" s="560">
        <v>4</v>
      </c>
      <c r="AE7" s="86">
        <v>0</v>
      </c>
      <c r="AF7" s="86">
        <v>0</v>
      </c>
      <c r="AG7" s="86">
        <v>870</v>
      </c>
      <c r="AH7" s="86">
        <v>780</v>
      </c>
      <c r="AI7" s="86">
        <v>250</v>
      </c>
      <c r="AJ7" s="73">
        <v>3747.9793650793649</v>
      </c>
      <c r="AL7" s="560">
        <v>4</v>
      </c>
      <c r="AM7" s="86">
        <v>0</v>
      </c>
      <c r="AN7" s="86">
        <v>0</v>
      </c>
      <c r="AO7" s="86">
        <v>1131</v>
      </c>
      <c r="AP7" s="86">
        <v>1033.5</v>
      </c>
      <c r="AQ7" s="86">
        <v>312.5</v>
      </c>
      <c r="AR7" s="73">
        <v>3747.9793650793649</v>
      </c>
      <c r="AT7" s="566">
        <v>4</v>
      </c>
      <c r="AU7" s="388">
        <v>3747.9793650793649</v>
      </c>
      <c r="AV7" s="388">
        <v>596.01904761904757</v>
      </c>
      <c r="AW7" s="388">
        <v>1902.952380952381</v>
      </c>
      <c r="AX7" s="388">
        <v>1249.0079365079366</v>
      </c>
      <c r="AY7" s="388">
        <v>0</v>
      </c>
      <c r="AZ7" s="388">
        <v>0</v>
      </c>
    </row>
    <row r="8" spans="1:52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404" t="s">
        <v>249</v>
      </c>
      <c r="Q8" s="408">
        <f>AVERAGEIF(AA4:AA23,"&lt;&gt;0")</f>
        <v>111.9176331132259</v>
      </c>
      <c r="R8" s="408">
        <f>AVERAGEIF(AI4:AI23,"&lt;&gt;0")</f>
        <v>145.29411764705881</v>
      </c>
      <c r="S8" s="408">
        <f>AVERAGEIF(AQ4:AQ23,"&lt;&gt;0")</f>
        <v>181.61764705882354</v>
      </c>
      <c r="T8" s="407">
        <f>AVERAGEIF(AX4:AX23,"&lt;&gt;0")</f>
        <v>880.65187555969624</v>
      </c>
      <c r="V8" s="560">
        <v>5</v>
      </c>
      <c r="W8" s="86">
        <v>1.6666666666666667</v>
      </c>
      <c r="X8" s="86">
        <v>1.6666666666666667</v>
      </c>
      <c r="Y8" s="86">
        <v>200</v>
      </c>
      <c r="Z8" s="86">
        <v>353.33333333333331</v>
      </c>
      <c r="AA8" s="86">
        <v>133.33333333333334</v>
      </c>
      <c r="AB8" s="73">
        <v>2896.65</v>
      </c>
      <c r="AD8" s="560">
        <v>5</v>
      </c>
      <c r="AE8" s="86">
        <v>10</v>
      </c>
      <c r="AF8" s="86">
        <v>10</v>
      </c>
      <c r="AG8" s="86">
        <v>300</v>
      </c>
      <c r="AH8" s="86">
        <v>530</v>
      </c>
      <c r="AI8" s="86">
        <v>200</v>
      </c>
      <c r="AJ8" s="73">
        <v>2896.65</v>
      </c>
      <c r="AL8" s="560">
        <v>5</v>
      </c>
      <c r="AM8" s="86">
        <v>10</v>
      </c>
      <c r="AN8" s="86">
        <v>10</v>
      </c>
      <c r="AO8" s="86">
        <v>390</v>
      </c>
      <c r="AP8" s="86">
        <v>702.25</v>
      </c>
      <c r="AQ8" s="86">
        <v>250</v>
      </c>
      <c r="AR8" s="73">
        <v>2896.65</v>
      </c>
      <c r="AT8" s="566">
        <v>5</v>
      </c>
      <c r="AU8" s="388">
        <v>2896.65</v>
      </c>
      <c r="AV8" s="388">
        <v>215.8</v>
      </c>
      <c r="AW8" s="388">
        <v>1357.6833333333334</v>
      </c>
      <c r="AX8" s="388">
        <v>1049.1666666666667</v>
      </c>
      <c r="AY8" s="388">
        <v>127</v>
      </c>
      <c r="AZ8" s="388">
        <v>147</v>
      </c>
    </row>
    <row r="9" spans="1:52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606" t="s">
        <v>356</v>
      </c>
      <c r="Q9" s="606"/>
      <c r="R9" s="409">
        <f>GETPIVOTDATA("CONSUMO LITROS DECOLORANTE (L) ",$AD$3)</f>
        <v>3610</v>
      </c>
      <c r="S9" s="409">
        <f>GETPIVOTDATA("KG DECOLORANTE  ",$AL$3)</f>
        <v>4512.5</v>
      </c>
      <c r="T9" s="407">
        <f>S9*AX2</f>
        <v>28406187.5</v>
      </c>
      <c r="V9" s="560">
        <v>6</v>
      </c>
      <c r="W9" s="86">
        <v>3.7037037037037037</v>
      </c>
      <c r="X9" s="86">
        <v>0.92592592592592593</v>
      </c>
      <c r="Y9" s="86">
        <v>148.14814814814815</v>
      </c>
      <c r="Z9" s="86">
        <v>585.18518518518522</v>
      </c>
      <c r="AA9" s="86">
        <v>155.55555555555554</v>
      </c>
      <c r="AB9" s="73">
        <v>4029.6759259259261</v>
      </c>
      <c r="AD9" s="560">
        <v>6</v>
      </c>
      <c r="AE9" s="86">
        <v>20</v>
      </c>
      <c r="AF9" s="86">
        <v>5</v>
      </c>
      <c r="AG9" s="86">
        <v>200</v>
      </c>
      <c r="AH9" s="86">
        <v>790</v>
      </c>
      <c r="AI9" s="86">
        <v>210</v>
      </c>
      <c r="AJ9" s="73">
        <v>4029.6759259259261</v>
      </c>
      <c r="AL9" s="560">
        <v>6</v>
      </c>
      <c r="AM9" s="86">
        <v>20</v>
      </c>
      <c r="AN9" s="86">
        <v>5</v>
      </c>
      <c r="AO9" s="86">
        <v>260</v>
      </c>
      <c r="AP9" s="86">
        <v>1046.75</v>
      </c>
      <c r="AQ9" s="86">
        <v>262.5</v>
      </c>
      <c r="AR9" s="73">
        <v>4029.6759259259261</v>
      </c>
      <c r="AT9" s="566">
        <v>6</v>
      </c>
      <c r="AU9" s="388">
        <v>4029.6759259259261</v>
      </c>
      <c r="AV9" s="388">
        <v>159.85185185185185</v>
      </c>
      <c r="AW9" s="388">
        <v>2248.5740740740739</v>
      </c>
      <c r="AX9" s="388">
        <v>1224.0277777777778</v>
      </c>
      <c r="AY9" s="388">
        <v>70.555555555555557</v>
      </c>
      <c r="AZ9" s="388">
        <v>326.66666666666669</v>
      </c>
    </row>
    <row r="10" spans="1:52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416"/>
      <c r="T10" s="410"/>
      <c r="V10" s="560">
        <v>7</v>
      </c>
      <c r="W10" s="86">
        <v>2.7777777777777777</v>
      </c>
      <c r="X10" s="86">
        <v>2.7777777777777777</v>
      </c>
      <c r="Y10" s="86">
        <v>277.77777777777777</v>
      </c>
      <c r="Z10" s="86">
        <v>555.55555555555554</v>
      </c>
      <c r="AA10" s="86">
        <v>66.666666666666671</v>
      </c>
      <c r="AB10" s="73">
        <v>3415.6944444444443</v>
      </c>
      <c r="AD10" s="560">
        <v>7</v>
      </c>
      <c r="AE10" s="86">
        <v>10</v>
      </c>
      <c r="AF10" s="86">
        <v>10</v>
      </c>
      <c r="AG10" s="86">
        <v>250</v>
      </c>
      <c r="AH10" s="86">
        <v>500</v>
      </c>
      <c r="AI10" s="86">
        <v>60</v>
      </c>
      <c r="AJ10" s="73">
        <v>3415.6944444444443</v>
      </c>
      <c r="AL10" s="560">
        <v>7</v>
      </c>
      <c r="AM10" s="86">
        <v>10</v>
      </c>
      <c r="AN10" s="86">
        <v>10</v>
      </c>
      <c r="AO10" s="86">
        <v>325</v>
      </c>
      <c r="AP10" s="86">
        <v>662.5</v>
      </c>
      <c r="AQ10" s="86">
        <v>75</v>
      </c>
      <c r="AR10" s="73">
        <v>3415.6944444444443</v>
      </c>
      <c r="AT10" s="566">
        <v>7</v>
      </c>
      <c r="AU10" s="388">
        <v>3415.6944444444443</v>
      </c>
      <c r="AV10" s="388">
        <v>299.72222222222223</v>
      </c>
      <c r="AW10" s="388">
        <v>2134.7222222222222</v>
      </c>
      <c r="AX10" s="388">
        <v>524.58333333333337</v>
      </c>
      <c r="AY10" s="388">
        <v>211.66666666666666</v>
      </c>
      <c r="AZ10" s="388">
        <v>245</v>
      </c>
    </row>
    <row r="11" spans="1:52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605" t="s">
        <v>252</v>
      </c>
      <c r="Q11" s="605"/>
      <c r="R11" s="605"/>
      <c r="S11" s="605"/>
      <c r="T11" s="605"/>
      <c r="V11" s="560">
        <v>8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73">
        <v>0</v>
      </c>
      <c r="AD11" s="560">
        <v>8</v>
      </c>
      <c r="AE11" s="86">
        <v>0</v>
      </c>
      <c r="AF11" s="86">
        <v>5</v>
      </c>
      <c r="AG11" s="86">
        <v>0</v>
      </c>
      <c r="AH11" s="86">
        <v>0</v>
      </c>
      <c r="AI11" s="86">
        <v>0</v>
      </c>
      <c r="AJ11" s="73">
        <v>0</v>
      </c>
      <c r="AL11" s="560">
        <v>8</v>
      </c>
      <c r="AM11" s="86">
        <v>0</v>
      </c>
      <c r="AN11" s="86">
        <v>5</v>
      </c>
      <c r="AO11" s="86">
        <v>0</v>
      </c>
      <c r="AP11" s="86">
        <v>0</v>
      </c>
      <c r="AQ11" s="86">
        <v>0</v>
      </c>
      <c r="AR11" s="73">
        <v>0</v>
      </c>
      <c r="AT11" s="566">
        <v>8</v>
      </c>
      <c r="AU11" s="388">
        <v>0</v>
      </c>
      <c r="AV11" s="388">
        <v>0</v>
      </c>
      <c r="AW11" s="388">
        <v>0</v>
      </c>
      <c r="AX11" s="388">
        <v>0</v>
      </c>
      <c r="AY11" s="388">
        <v>0</v>
      </c>
      <c r="AZ11" s="388">
        <v>0</v>
      </c>
    </row>
    <row r="12" spans="1:52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404"/>
      <c r="Q12" s="387" t="s">
        <v>250</v>
      </c>
      <c r="R12" s="387" t="s">
        <v>367</v>
      </c>
      <c r="S12" s="387" t="s">
        <v>368</v>
      </c>
      <c r="T12" s="387" t="s">
        <v>362</v>
      </c>
      <c r="V12" s="560">
        <v>9</v>
      </c>
      <c r="W12" s="86">
        <v>2.7777777777777777</v>
      </c>
      <c r="X12" s="86">
        <v>1.8518518518518519</v>
      </c>
      <c r="Y12" s="86">
        <v>111.11111111111111</v>
      </c>
      <c r="Z12" s="86">
        <v>518.51851851851848</v>
      </c>
      <c r="AA12" s="86">
        <v>103.70370370370371</v>
      </c>
      <c r="AB12" s="73">
        <v>3314.4259259259261</v>
      </c>
      <c r="AD12" s="560">
        <v>9</v>
      </c>
      <c r="AE12" s="86">
        <v>15</v>
      </c>
      <c r="AF12" s="86">
        <v>10</v>
      </c>
      <c r="AG12" s="86">
        <v>150</v>
      </c>
      <c r="AH12" s="86">
        <v>700</v>
      </c>
      <c r="AI12" s="86">
        <v>140</v>
      </c>
      <c r="AJ12" s="73">
        <v>3314.4259259259261</v>
      </c>
      <c r="AL12" s="560">
        <v>9</v>
      </c>
      <c r="AM12" s="86">
        <v>15</v>
      </c>
      <c r="AN12" s="86">
        <v>10</v>
      </c>
      <c r="AO12" s="86">
        <v>195</v>
      </c>
      <c r="AP12" s="86">
        <v>927.5</v>
      </c>
      <c r="AQ12" s="86">
        <v>175</v>
      </c>
      <c r="AR12" s="73">
        <v>3314.4259259259261</v>
      </c>
      <c r="AT12" s="566">
        <v>9</v>
      </c>
      <c r="AU12" s="388">
        <v>3314.4259259259261</v>
      </c>
      <c r="AV12" s="388">
        <v>119.88888888888889</v>
      </c>
      <c r="AW12" s="388">
        <v>1992.4074074074074</v>
      </c>
      <c r="AX12" s="388">
        <v>816.01851851851848</v>
      </c>
      <c r="AY12" s="388">
        <v>141.11111111111111</v>
      </c>
      <c r="AZ12" s="388">
        <v>245</v>
      </c>
    </row>
    <row r="13" spans="1:52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404" t="s">
        <v>247</v>
      </c>
      <c r="Q13" s="405">
        <f>_xlfn.MINIFS(Z4:Z23,Z4:Z23,"&lt;&gt;0")</f>
        <v>231.57894736842104</v>
      </c>
      <c r="R13" s="405">
        <f>_xlfn.MINIFS(AH4:AH23,AH4:AH23,"&lt;&gt;0")</f>
        <v>300</v>
      </c>
      <c r="S13" s="405">
        <f>_xlfn.MINIFS(AP4:AP23,AP4:AP23,"&lt;&gt;0")</f>
        <v>397.5</v>
      </c>
      <c r="T13" s="407">
        <f>_xlfn.MINIFS(AW4:AW23,AW4:AW23,"&lt;&gt;0")</f>
        <v>889.84210526315792</v>
      </c>
      <c r="V13" s="560">
        <v>10</v>
      </c>
      <c r="W13" s="86">
        <v>2.6315789473684212</v>
      </c>
      <c r="X13" s="86">
        <v>0.8771929824561403</v>
      </c>
      <c r="Y13" s="86">
        <v>189.47368421052633</v>
      </c>
      <c r="Z13" s="86">
        <v>231.57894736842104</v>
      </c>
      <c r="AA13" s="86">
        <v>56.140350877192979</v>
      </c>
      <c r="AB13" s="73">
        <v>1834.9859649122807</v>
      </c>
      <c r="AD13" s="560">
        <v>10</v>
      </c>
      <c r="AE13" s="86">
        <v>15</v>
      </c>
      <c r="AF13" s="86">
        <v>5</v>
      </c>
      <c r="AG13" s="86">
        <v>270</v>
      </c>
      <c r="AH13" s="86">
        <v>330</v>
      </c>
      <c r="AI13" s="86">
        <v>80</v>
      </c>
      <c r="AJ13" s="73">
        <v>1834.9859649122807</v>
      </c>
      <c r="AL13" s="560">
        <v>10</v>
      </c>
      <c r="AM13" s="86">
        <v>15</v>
      </c>
      <c r="AN13" s="86">
        <v>5</v>
      </c>
      <c r="AO13" s="86">
        <v>351</v>
      </c>
      <c r="AP13" s="86">
        <v>437.25</v>
      </c>
      <c r="AQ13" s="86">
        <v>100</v>
      </c>
      <c r="AR13" s="73">
        <v>1834.9859649122807</v>
      </c>
      <c r="AT13" s="566">
        <v>10</v>
      </c>
      <c r="AU13" s="388">
        <v>1834.9859649122807</v>
      </c>
      <c r="AV13" s="388">
        <v>204.44210526315788</v>
      </c>
      <c r="AW13" s="388">
        <v>889.84210526315792</v>
      </c>
      <c r="AX13" s="388">
        <v>441.75438596491227</v>
      </c>
      <c r="AY13" s="388">
        <v>66.84210526315789</v>
      </c>
      <c r="AZ13" s="388">
        <v>232.10526315789474</v>
      </c>
    </row>
    <row r="14" spans="1:52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404" t="s">
        <v>248</v>
      </c>
      <c r="Q14" s="405">
        <f>MAX(Z4:Z23)</f>
        <v>728.88888888888891</v>
      </c>
      <c r="R14" s="405">
        <f>MAX(AH4:AH23)</f>
        <v>860</v>
      </c>
      <c r="S14" s="405">
        <f>MAX(AP4:AP23)</f>
        <v>1139.5</v>
      </c>
      <c r="T14" s="407">
        <f>MAX(AW4:AW23)</f>
        <v>2800.7555555555555</v>
      </c>
      <c r="V14" s="560">
        <v>11</v>
      </c>
      <c r="W14" s="86">
        <v>2.9411764705882355</v>
      </c>
      <c r="X14" s="86">
        <v>1.9607843137254901</v>
      </c>
      <c r="Y14" s="86">
        <v>235.29411764705881</v>
      </c>
      <c r="Z14" s="86">
        <v>250.98039215686273</v>
      </c>
      <c r="AA14" s="86">
        <v>86.274509803921575</v>
      </c>
      <c r="AB14" s="73">
        <v>2305.9705882352941</v>
      </c>
      <c r="AD14" s="560">
        <v>11</v>
      </c>
      <c r="AE14" s="86">
        <v>15</v>
      </c>
      <c r="AF14" s="86">
        <v>10</v>
      </c>
      <c r="AG14" s="86">
        <v>300</v>
      </c>
      <c r="AH14" s="86">
        <v>320</v>
      </c>
      <c r="AI14" s="86">
        <v>110</v>
      </c>
      <c r="AJ14" s="73">
        <v>2305.9705882352941</v>
      </c>
      <c r="AL14" s="560">
        <v>11</v>
      </c>
      <c r="AM14" s="86">
        <v>15</v>
      </c>
      <c r="AN14" s="86">
        <v>10</v>
      </c>
      <c r="AO14" s="86">
        <v>390</v>
      </c>
      <c r="AP14" s="86">
        <v>424</v>
      </c>
      <c r="AQ14" s="86">
        <v>137.5</v>
      </c>
      <c r="AR14" s="73">
        <v>2305.9705882352941</v>
      </c>
      <c r="AT14" s="189">
        <v>11</v>
      </c>
      <c r="AU14" s="388">
        <v>2305.9705882352941</v>
      </c>
      <c r="AV14" s="388">
        <v>253.88235294117646</v>
      </c>
      <c r="AW14" s="388">
        <v>964.39215686274508</v>
      </c>
      <c r="AX14" s="388">
        <v>678.87254901960785</v>
      </c>
      <c r="AY14" s="388">
        <v>149.41176470588235</v>
      </c>
      <c r="AZ14" s="388">
        <v>259.41176470588238</v>
      </c>
    </row>
    <row r="15" spans="1:52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404" t="s">
        <v>249</v>
      </c>
      <c r="Q15" s="408">
        <f>AVERAGEIF(Z4:Z23,"&lt;&gt;0")</f>
        <v>426.76160190285566</v>
      </c>
      <c r="R15" s="408">
        <f>AVERAGEIF(AH4:AH23,"&lt;&gt;0")</f>
        <v>551.875</v>
      </c>
      <c r="S15" s="408">
        <f>AVERAGEIF(AP4:AP23,"&lt;&gt;0")</f>
        <v>731.234375</v>
      </c>
      <c r="T15" s="407">
        <f>AVERAGEIF(AW4:AW23,"&lt;&gt;0")</f>
        <v>1639.8314553117234</v>
      </c>
      <c r="V15" s="560">
        <v>12</v>
      </c>
      <c r="W15" s="86">
        <v>3.125</v>
      </c>
      <c r="X15" s="86">
        <v>2.0833333333333335</v>
      </c>
      <c r="Y15" s="86">
        <v>275</v>
      </c>
      <c r="Z15" s="86">
        <v>333.33333333333331</v>
      </c>
      <c r="AA15" s="86">
        <v>41.666666666666664</v>
      </c>
      <c r="AB15" s="73">
        <v>2339.7979166666669</v>
      </c>
      <c r="AD15" s="560">
        <v>12</v>
      </c>
      <c r="AE15" s="86">
        <v>15</v>
      </c>
      <c r="AF15" s="86">
        <v>10</v>
      </c>
      <c r="AG15" s="86">
        <v>330</v>
      </c>
      <c r="AH15" s="86">
        <v>400</v>
      </c>
      <c r="AI15" s="86">
        <v>50</v>
      </c>
      <c r="AJ15" s="73">
        <v>2339.7979166666669</v>
      </c>
      <c r="AL15" s="560">
        <v>12</v>
      </c>
      <c r="AM15" s="86">
        <v>15</v>
      </c>
      <c r="AN15" s="86">
        <v>10</v>
      </c>
      <c r="AO15" s="86">
        <v>429</v>
      </c>
      <c r="AP15" s="86">
        <v>530</v>
      </c>
      <c r="AQ15" s="86">
        <v>62.5</v>
      </c>
      <c r="AR15" s="73">
        <v>2339.7979166666669</v>
      </c>
      <c r="AT15" s="566">
        <v>12</v>
      </c>
      <c r="AU15" s="388">
        <v>2339.7979166666669</v>
      </c>
      <c r="AV15" s="388">
        <v>296.72500000000002</v>
      </c>
      <c r="AW15" s="388">
        <v>1280.8333333333333</v>
      </c>
      <c r="AX15" s="388">
        <v>327.86458333333331</v>
      </c>
      <c r="AY15" s="388">
        <v>158.75</v>
      </c>
      <c r="AZ15" s="388">
        <v>275.625</v>
      </c>
    </row>
    <row r="16" spans="1:52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606" t="s">
        <v>356</v>
      </c>
      <c r="Q16" s="606"/>
      <c r="R16" s="409">
        <f>GETPIVOTDATA("CONSUMO LITROS COAGULANTE (L) ",$AD$3)</f>
        <v>12980</v>
      </c>
      <c r="S16" s="409">
        <f>GETPIVOTDATA("KG COAGULANTE ",$AL$3)</f>
        <v>17198.5</v>
      </c>
      <c r="T16" s="407">
        <f>S16*AW2</f>
        <v>49875650</v>
      </c>
      <c r="V16" s="560">
        <v>13</v>
      </c>
      <c r="W16" s="86">
        <v>3.3333333333333335</v>
      </c>
      <c r="X16" s="86">
        <v>1.1111111111111112</v>
      </c>
      <c r="Y16" s="86">
        <v>275.55555555555554</v>
      </c>
      <c r="Z16" s="86">
        <v>444.44444444444446</v>
      </c>
      <c r="AA16" s="86">
        <v>133.33333333333334</v>
      </c>
      <c r="AB16" s="73">
        <v>3432.9355555555558</v>
      </c>
      <c r="AD16" s="560">
        <v>13</v>
      </c>
      <c r="AE16" s="86">
        <v>15</v>
      </c>
      <c r="AF16" s="86">
        <v>5</v>
      </c>
      <c r="AG16" s="86">
        <v>310</v>
      </c>
      <c r="AH16" s="86">
        <v>500</v>
      </c>
      <c r="AI16" s="86">
        <v>150</v>
      </c>
      <c r="AJ16" s="73">
        <v>3432.9355555555558</v>
      </c>
      <c r="AL16" s="560">
        <v>13</v>
      </c>
      <c r="AM16" s="86">
        <v>15</v>
      </c>
      <c r="AN16" s="86">
        <v>5</v>
      </c>
      <c r="AO16" s="86">
        <v>403</v>
      </c>
      <c r="AP16" s="86">
        <v>662.5</v>
      </c>
      <c r="AQ16" s="86">
        <v>187.5</v>
      </c>
      <c r="AR16" s="73">
        <v>3432.9355555555558</v>
      </c>
      <c r="AT16" s="566">
        <v>13</v>
      </c>
      <c r="AU16" s="388">
        <v>3432.9355555555558</v>
      </c>
      <c r="AV16" s="388">
        <v>297.32444444444445</v>
      </c>
      <c r="AW16" s="388">
        <v>1707.7777777777778</v>
      </c>
      <c r="AX16" s="388">
        <v>1049.1666666666667</v>
      </c>
      <c r="AY16" s="388">
        <v>84.666666666666671</v>
      </c>
      <c r="AZ16" s="388">
        <v>294</v>
      </c>
    </row>
    <row r="17" spans="1:52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416"/>
      <c r="T17" s="67"/>
      <c r="V17" s="560">
        <v>14</v>
      </c>
      <c r="W17" s="86">
        <v>2.2222222222222223</v>
      </c>
      <c r="X17" s="86">
        <v>2.2222222222222223</v>
      </c>
      <c r="Y17" s="86">
        <v>80</v>
      </c>
      <c r="Z17" s="86">
        <v>435.55555555555554</v>
      </c>
      <c r="AA17" s="86">
        <v>17.777777777777779</v>
      </c>
      <c r="AB17" s="73">
        <v>2265.1644444444446</v>
      </c>
      <c r="AD17" s="560">
        <v>14</v>
      </c>
      <c r="AE17" s="86">
        <v>10</v>
      </c>
      <c r="AF17" s="86">
        <v>10</v>
      </c>
      <c r="AG17" s="86">
        <v>90</v>
      </c>
      <c r="AH17" s="86">
        <v>490</v>
      </c>
      <c r="AI17" s="86">
        <v>20</v>
      </c>
      <c r="AJ17" s="73">
        <v>2265.1644444444446</v>
      </c>
      <c r="AL17" s="560">
        <v>14</v>
      </c>
      <c r="AM17" s="86">
        <v>10</v>
      </c>
      <c r="AN17" s="86">
        <v>10</v>
      </c>
      <c r="AO17" s="86">
        <v>117</v>
      </c>
      <c r="AP17" s="86">
        <v>649.25</v>
      </c>
      <c r="AQ17" s="86">
        <v>25</v>
      </c>
      <c r="AR17" s="73">
        <v>2265.1644444444446</v>
      </c>
      <c r="AT17" s="566">
        <v>14</v>
      </c>
      <c r="AU17" s="388">
        <v>2265.1644444444446</v>
      </c>
      <c r="AV17" s="388">
        <v>86.32</v>
      </c>
      <c r="AW17" s="388">
        <v>1673.6222222222223</v>
      </c>
      <c r="AX17" s="388">
        <v>139.88888888888889</v>
      </c>
      <c r="AY17" s="388">
        <v>169.33333333333334</v>
      </c>
      <c r="AZ17" s="388">
        <v>196</v>
      </c>
    </row>
    <row r="18" spans="1:52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605" t="s">
        <v>253</v>
      </c>
      <c r="Q18" s="605"/>
      <c r="R18" s="605"/>
      <c r="S18" s="605"/>
      <c r="T18" s="605"/>
      <c r="V18" s="560">
        <v>15</v>
      </c>
      <c r="W18" s="86">
        <v>0</v>
      </c>
      <c r="X18" s="86">
        <v>0</v>
      </c>
      <c r="Y18" s="86">
        <v>0</v>
      </c>
      <c r="Z18" s="86">
        <v>0</v>
      </c>
      <c r="AA18" s="86">
        <v>0</v>
      </c>
      <c r="AB18" s="73">
        <v>0</v>
      </c>
      <c r="AD18" s="560">
        <v>15</v>
      </c>
      <c r="AE18" s="86">
        <v>0</v>
      </c>
      <c r="AF18" s="86">
        <v>0</v>
      </c>
      <c r="AG18" s="86">
        <v>0</v>
      </c>
      <c r="AH18" s="86">
        <v>0</v>
      </c>
      <c r="AI18" s="86">
        <v>0</v>
      </c>
      <c r="AJ18" s="73">
        <v>0</v>
      </c>
      <c r="AL18" s="560">
        <v>15</v>
      </c>
      <c r="AM18" s="86">
        <v>0</v>
      </c>
      <c r="AN18" s="86">
        <v>0</v>
      </c>
      <c r="AO18" s="86">
        <v>0</v>
      </c>
      <c r="AP18" s="86">
        <v>0</v>
      </c>
      <c r="AQ18" s="86">
        <v>0</v>
      </c>
      <c r="AR18" s="73">
        <v>0</v>
      </c>
      <c r="AT18" s="566">
        <v>15</v>
      </c>
      <c r="AU18" s="388">
        <v>0</v>
      </c>
      <c r="AV18" s="388">
        <v>0</v>
      </c>
      <c r="AW18" s="388">
        <v>0</v>
      </c>
      <c r="AX18" s="388">
        <v>0</v>
      </c>
      <c r="AY18" s="388">
        <v>0</v>
      </c>
      <c r="AZ18" s="388">
        <v>0</v>
      </c>
    </row>
    <row r="19" spans="1:52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404"/>
      <c r="Q19" s="387" t="s">
        <v>250</v>
      </c>
      <c r="R19" s="387" t="s">
        <v>367</v>
      </c>
      <c r="S19" s="387" t="s">
        <v>368</v>
      </c>
      <c r="T19" s="387" t="s">
        <v>362</v>
      </c>
      <c r="V19" s="560">
        <v>16</v>
      </c>
      <c r="W19" s="86">
        <v>2.6041666666666665</v>
      </c>
      <c r="X19" s="86">
        <v>0.86805555555555558</v>
      </c>
      <c r="Y19" s="86">
        <v>277.77777777777777</v>
      </c>
      <c r="Z19" s="86">
        <v>597.22222222222217</v>
      </c>
      <c r="AA19" s="86">
        <v>125</v>
      </c>
      <c r="AB19" s="73">
        <v>3873.9756944444443</v>
      </c>
      <c r="AD19" s="560">
        <v>16</v>
      </c>
      <c r="AE19" s="86">
        <v>15</v>
      </c>
      <c r="AF19" s="86">
        <v>5</v>
      </c>
      <c r="AG19" s="86">
        <v>400</v>
      </c>
      <c r="AH19" s="86">
        <v>860</v>
      </c>
      <c r="AI19" s="86">
        <v>180</v>
      </c>
      <c r="AJ19" s="73">
        <v>3873.9756944444443</v>
      </c>
      <c r="AL19" s="560">
        <v>16</v>
      </c>
      <c r="AM19" s="86">
        <v>15</v>
      </c>
      <c r="AN19" s="86">
        <v>5</v>
      </c>
      <c r="AO19" s="86">
        <v>520</v>
      </c>
      <c r="AP19" s="86">
        <v>1139.5</v>
      </c>
      <c r="AQ19" s="86">
        <v>225</v>
      </c>
      <c r="AR19" s="73">
        <v>3873.9756944444443</v>
      </c>
      <c r="AT19" s="566">
        <v>16</v>
      </c>
      <c r="AU19" s="388">
        <v>3873.9756944444443</v>
      </c>
      <c r="AV19" s="388">
        <v>299.72222222222223</v>
      </c>
      <c r="AW19" s="388">
        <v>2294.8263888888887</v>
      </c>
      <c r="AX19" s="388">
        <v>983.59375</v>
      </c>
      <c r="AY19" s="388">
        <v>66.145833333333329</v>
      </c>
      <c r="AZ19" s="388">
        <v>229.6875</v>
      </c>
    </row>
    <row r="20" spans="1:52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404" t="s">
        <v>247</v>
      </c>
      <c r="Q20" s="405">
        <f>_xlfn.MINIFS(Y4:Y23,Y4:Y23,"&lt;&gt;0")</f>
        <v>80</v>
      </c>
      <c r="R20" s="405">
        <f>_xlfn.MINIFS(AG4:AG23,AG4:AG23,"&lt;&gt;0")</f>
        <v>90</v>
      </c>
      <c r="S20" s="405">
        <f>_xlfn.MINIFS(AO4:AO23,AO4:AO23,"&lt;&gt;0")</f>
        <v>117</v>
      </c>
      <c r="T20" s="411">
        <f>_xlfn.MINIFS(AV4:AV23,AV4:AV23,"&lt;&gt;0")</f>
        <v>86.32</v>
      </c>
      <c r="V20" s="560">
        <v>17</v>
      </c>
      <c r="W20" s="86">
        <v>3.125</v>
      </c>
      <c r="X20" s="86">
        <v>1.0416666666666667</v>
      </c>
      <c r="Y20" s="86">
        <v>208.33333333333334</v>
      </c>
      <c r="Z20" s="86">
        <v>250</v>
      </c>
      <c r="AA20" s="86">
        <v>91.666666666666671</v>
      </c>
      <c r="AB20" s="73">
        <v>2261.71875</v>
      </c>
      <c r="AD20" s="560">
        <v>17</v>
      </c>
      <c r="AE20" s="86">
        <v>15</v>
      </c>
      <c r="AF20" s="86">
        <v>5</v>
      </c>
      <c r="AG20" s="86">
        <v>250</v>
      </c>
      <c r="AH20" s="86">
        <v>300</v>
      </c>
      <c r="AI20" s="86">
        <v>110</v>
      </c>
      <c r="AJ20" s="73">
        <v>2261.71875</v>
      </c>
      <c r="AL20" s="560">
        <v>17</v>
      </c>
      <c r="AM20" s="86">
        <v>15</v>
      </c>
      <c r="AN20" s="86">
        <v>5</v>
      </c>
      <c r="AO20" s="86">
        <v>325</v>
      </c>
      <c r="AP20" s="86">
        <v>397.5</v>
      </c>
      <c r="AQ20" s="86">
        <v>137.5</v>
      </c>
      <c r="AR20" s="73">
        <v>2261.71875</v>
      </c>
      <c r="AT20" s="566">
        <v>17</v>
      </c>
      <c r="AU20" s="388">
        <v>2261.71875</v>
      </c>
      <c r="AV20" s="388">
        <v>224.79166666666666</v>
      </c>
      <c r="AW20" s="388">
        <v>960.625</v>
      </c>
      <c r="AX20" s="388">
        <v>721.30208333333337</v>
      </c>
      <c r="AY20" s="388">
        <v>79.375</v>
      </c>
      <c r="AZ20" s="388">
        <v>275.625</v>
      </c>
    </row>
    <row r="21" spans="1:52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404" t="s">
        <v>248</v>
      </c>
      <c r="Q21" s="405">
        <f>MAX(Y4:Y23)</f>
        <v>552.38095238095241</v>
      </c>
      <c r="R21" s="405">
        <f>MAX(AG4:AG23)</f>
        <v>870</v>
      </c>
      <c r="S21" s="405">
        <f>MAX(AO4:AO23)</f>
        <v>1131</v>
      </c>
      <c r="T21" s="411">
        <f>MAX(AV4:AV23)</f>
        <v>596.01904761904757</v>
      </c>
      <c r="V21" s="560">
        <v>18</v>
      </c>
      <c r="W21" s="86">
        <v>3.90625</v>
      </c>
      <c r="X21" s="86">
        <v>1.3020833333333333</v>
      </c>
      <c r="Y21" s="86">
        <v>291.66666666666669</v>
      </c>
      <c r="Z21" s="86">
        <v>0</v>
      </c>
      <c r="AA21" s="86">
        <v>208.33333333333334</v>
      </c>
      <c r="AB21" s="73">
        <v>2397.78125</v>
      </c>
      <c r="AD21" s="560">
        <v>18</v>
      </c>
      <c r="AE21" s="86">
        <v>15</v>
      </c>
      <c r="AF21" s="86">
        <v>5</v>
      </c>
      <c r="AG21" s="86">
        <v>280</v>
      </c>
      <c r="AH21" s="86">
        <v>0</v>
      </c>
      <c r="AI21" s="86">
        <v>200</v>
      </c>
      <c r="AJ21" s="73">
        <v>2397.78125</v>
      </c>
      <c r="AL21" s="560">
        <v>18</v>
      </c>
      <c r="AM21" s="86">
        <v>15</v>
      </c>
      <c r="AN21" s="86">
        <v>5</v>
      </c>
      <c r="AO21" s="86">
        <v>364</v>
      </c>
      <c r="AP21" s="86">
        <v>0</v>
      </c>
      <c r="AQ21" s="86">
        <v>250</v>
      </c>
      <c r="AR21" s="73">
        <v>2397.78125</v>
      </c>
      <c r="AT21" s="566">
        <v>18</v>
      </c>
      <c r="AU21" s="388">
        <v>2397.78125</v>
      </c>
      <c r="AV21" s="388">
        <v>314.70833333333331</v>
      </c>
      <c r="AW21" s="388">
        <v>0</v>
      </c>
      <c r="AX21" s="388">
        <v>1639.3229166666667</v>
      </c>
      <c r="AY21" s="388">
        <v>99.21875</v>
      </c>
      <c r="AZ21" s="388">
        <v>344.53125</v>
      </c>
    </row>
    <row r="22" spans="1:52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404" t="s">
        <v>249</v>
      </c>
      <c r="Q22" s="408">
        <f>AVERAGEIF(Y4:Y23,"&lt;&gt;0")</f>
        <v>252.79139794892848</v>
      </c>
      <c r="R22" s="408">
        <f>AVERAGEIF(AG4:AG23,"&lt;&gt;0")</f>
        <v>327.05882352941177</v>
      </c>
      <c r="S22" s="408">
        <f>AVERAGEIF(AO4:AO23,"&lt;&gt;0")</f>
        <v>425.1764705882353</v>
      </c>
      <c r="T22" s="411">
        <f>AVERAGEIF(AV4:AV23,"&lt;&gt;0")</f>
        <v>272.76191838689374</v>
      </c>
      <c r="V22" s="560">
        <v>19</v>
      </c>
      <c r="W22" s="86">
        <v>3.125</v>
      </c>
      <c r="X22" s="86">
        <v>1.0416666666666667</v>
      </c>
      <c r="Y22" s="86">
        <v>266.66666666666669</v>
      </c>
      <c r="Z22" s="86">
        <v>308.33333333333331</v>
      </c>
      <c r="AA22" s="86">
        <v>116.66666666666667</v>
      </c>
      <c r="AB22" s="73">
        <v>2745.5250000000001</v>
      </c>
      <c r="AD22" s="560">
        <v>19</v>
      </c>
      <c r="AE22" s="86">
        <v>15</v>
      </c>
      <c r="AF22" s="86">
        <v>5</v>
      </c>
      <c r="AG22" s="86">
        <v>320</v>
      </c>
      <c r="AH22" s="86">
        <v>370</v>
      </c>
      <c r="AI22" s="86">
        <v>140</v>
      </c>
      <c r="AJ22" s="73">
        <v>2745.5250000000001</v>
      </c>
      <c r="AL22" s="560">
        <v>19</v>
      </c>
      <c r="AM22" s="86">
        <v>15</v>
      </c>
      <c r="AN22" s="86">
        <v>5</v>
      </c>
      <c r="AO22" s="86">
        <v>416</v>
      </c>
      <c r="AP22" s="86">
        <v>490.25</v>
      </c>
      <c r="AQ22" s="86">
        <v>175</v>
      </c>
      <c r="AR22" s="73">
        <v>2745.5250000000001</v>
      </c>
      <c r="AT22" s="566">
        <v>19</v>
      </c>
      <c r="AU22" s="388">
        <v>2745.5250000000001</v>
      </c>
      <c r="AV22" s="388">
        <v>287.73333333333335</v>
      </c>
      <c r="AW22" s="388">
        <v>1184.7708333333333</v>
      </c>
      <c r="AX22" s="388">
        <v>918.02083333333337</v>
      </c>
      <c r="AY22" s="388">
        <v>79.375</v>
      </c>
      <c r="AZ22" s="388">
        <v>275.625</v>
      </c>
    </row>
    <row r="23" spans="1:52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606" t="s">
        <v>356</v>
      </c>
      <c r="Q23" s="606"/>
      <c r="R23" s="409">
        <f>GETPIVOTDATA("CONSUMO LITROS ACIDO (L) ",$AD$3)</f>
        <v>8210</v>
      </c>
      <c r="S23" s="409">
        <f>GETPIVOTDATA("KG ACIDO ",$AL$3)</f>
        <v>10673</v>
      </c>
      <c r="T23" s="411">
        <f>AV2*S23</f>
        <v>8858590</v>
      </c>
      <c r="V23" s="560">
        <v>20</v>
      </c>
      <c r="W23" s="86">
        <v>2.7573529411764706</v>
      </c>
      <c r="X23" s="86">
        <v>0.91911764705882348</v>
      </c>
      <c r="Y23" s="86">
        <v>183.8235294117647</v>
      </c>
      <c r="Z23" s="86">
        <v>279.41176470588238</v>
      </c>
      <c r="AA23" s="86">
        <v>80.882352941176464</v>
      </c>
      <c r="AB23" s="73">
        <v>2221.6636029411766</v>
      </c>
      <c r="AD23" s="560">
        <v>20</v>
      </c>
      <c r="AE23" s="86">
        <v>15</v>
      </c>
      <c r="AF23" s="86">
        <v>5</v>
      </c>
      <c r="AG23" s="86">
        <v>250</v>
      </c>
      <c r="AH23" s="86">
        <v>380</v>
      </c>
      <c r="AI23" s="86">
        <v>110</v>
      </c>
      <c r="AJ23" s="73">
        <v>2221.6636029411766</v>
      </c>
      <c r="AL23" s="560">
        <v>20</v>
      </c>
      <c r="AM23" s="86">
        <v>15</v>
      </c>
      <c r="AN23" s="86">
        <v>5</v>
      </c>
      <c r="AO23" s="86">
        <v>325</v>
      </c>
      <c r="AP23" s="86">
        <v>503.5</v>
      </c>
      <c r="AQ23" s="86">
        <v>137.5</v>
      </c>
      <c r="AR23" s="73">
        <v>2221.6636029411766</v>
      </c>
      <c r="AT23" s="566">
        <v>20</v>
      </c>
      <c r="AU23" s="388">
        <v>2221.6636029411766</v>
      </c>
      <c r="AV23" s="388">
        <v>198.34558823529412</v>
      </c>
      <c r="AW23" s="388">
        <v>1073.6397058823529</v>
      </c>
      <c r="AX23" s="388">
        <v>636.44301470588232</v>
      </c>
      <c r="AY23" s="388">
        <v>70.036764705882348</v>
      </c>
      <c r="AZ23" s="388">
        <v>243.1985294117647</v>
      </c>
    </row>
    <row r="24" spans="1:52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416"/>
      <c r="T24" s="91"/>
      <c r="V24" s="560">
        <v>21</v>
      </c>
      <c r="W24" s="86">
        <v>4.2613636363636367</v>
      </c>
      <c r="X24" s="86">
        <v>1.4204545454545454</v>
      </c>
      <c r="Y24" s="86">
        <v>318.18181818181819</v>
      </c>
      <c r="Z24" s="86">
        <v>568.18181818181813</v>
      </c>
      <c r="AA24" s="86">
        <v>147.72727272727272</v>
      </c>
      <c r="AB24" s="73">
        <v>4173.076704545455</v>
      </c>
      <c r="AD24" s="560">
        <v>21</v>
      </c>
      <c r="AE24" s="86">
        <v>15</v>
      </c>
      <c r="AF24" s="86">
        <v>5</v>
      </c>
      <c r="AG24" s="86">
        <v>280</v>
      </c>
      <c r="AH24" s="86">
        <v>500</v>
      </c>
      <c r="AI24" s="86">
        <v>130</v>
      </c>
      <c r="AJ24" s="73">
        <v>4173.076704545455</v>
      </c>
      <c r="AL24" s="560">
        <v>21</v>
      </c>
      <c r="AM24" s="86">
        <v>15</v>
      </c>
      <c r="AN24" s="86">
        <v>5</v>
      </c>
      <c r="AO24" s="86">
        <v>364</v>
      </c>
      <c r="AP24" s="86">
        <v>662.5</v>
      </c>
      <c r="AQ24" s="86">
        <v>162.5</v>
      </c>
      <c r="AR24" s="73">
        <v>4173.076704545455</v>
      </c>
      <c r="AT24" s="566">
        <v>21</v>
      </c>
      <c r="AU24" s="388">
        <v>4173.076704545455</v>
      </c>
      <c r="AV24" s="388">
        <v>343.31818181818181</v>
      </c>
      <c r="AW24" s="388">
        <v>2183.2386363636365</v>
      </c>
      <c r="AX24" s="388">
        <v>1162.4289772727273</v>
      </c>
      <c r="AY24" s="388">
        <v>108.23863636363636</v>
      </c>
      <c r="AZ24" s="388">
        <v>375.85227272727275</v>
      </c>
    </row>
    <row r="25" spans="1:52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605" t="s">
        <v>254</v>
      </c>
      <c r="Q25" s="605"/>
      <c r="R25" s="605"/>
      <c r="S25" s="605"/>
      <c r="T25" s="91"/>
      <c r="V25" s="560">
        <v>22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73">
        <v>0</v>
      </c>
      <c r="AD25" s="560">
        <v>22</v>
      </c>
      <c r="AE25" s="86">
        <v>0</v>
      </c>
      <c r="AF25" s="86">
        <v>0</v>
      </c>
      <c r="AG25" s="86">
        <v>0</v>
      </c>
      <c r="AH25" s="86">
        <v>160</v>
      </c>
      <c r="AI25" s="86">
        <v>0</v>
      </c>
      <c r="AJ25" s="73">
        <v>0</v>
      </c>
      <c r="AL25" s="560">
        <v>22</v>
      </c>
      <c r="AM25" s="86">
        <v>0</v>
      </c>
      <c r="AN25" s="86">
        <v>0</v>
      </c>
      <c r="AO25" s="86">
        <v>0</v>
      </c>
      <c r="AP25" s="86">
        <v>212</v>
      </c>
      <c r="AQ25" s="86">
        <v>0</v>
      </c>
      <c r="AR25" s="73">
        <v>0</v>
      </c>
      <c r="AT25" s="566">
        <v>22</v>
      </c>
      <c r="AU25" s="388">
        <v>0</v>
      </c>
      <c r="AV25" s="388">
        <v>0</v>
      </c>
      <c r="AW25" s="388">
        <v>0</v>
      </c>
      <c r="AX25" s="388">
        <v>0</v>
      </c>
      <c r="AY25" s="388">
        <v>0</v>
      </c>
      <c r="AZ25" s="388">
        <v>0</v>
      </c>
    </row>
    <row r="26" spans="1:52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404"/>
      <c r="Q26" s="387" t="s">
        <v>250</v>
      </c>
      <c r="R26" s="387" t="s">
        <v>368</v>
      </c>
      <c r="S26" s="387" t="s">
        <v>362</v>
      </c>
      <c r="T26" s="412"/>
      <c r="V26" s="560">
        <v>23</v>
      </c>
      <c r="W26" s="86">
        <v>5.208333333333333</v>
      </c>
      <c r="X26" s="86">
        <v>3.4722222222222223</v>
      </c>
      <c r="Y26" s="86">
        <v>722.22222222222217</v>
      </c>
      <c r="Z26" s="86">
        <v>541.66666666666663</v>
      </c>
      <c r="AA26" s="86">
        <v>152.77777777777777</v>
      </c>
      <c r="AB26" s="73">
        <v>4786.760416666667</v>
      </c>
      <c r="AD26" s="560">
        <v>23</v>
      </c>
      <c r="AE26" s="86">
        <v>15</v>
      </c>
      <c r="AF26" s="86">
        <v>10</v>
      </c>
      <c r="AG26" s="86">
        <v>520</v>
      </c>
      <c r="AH26" s="86">
        <v>390</v>
      </c>
      <c r="AI26" s="86">
        <v>110</v>
      </c>
      <c r="AJ26" s="73">
        <v>4786.760416666667</v>
      </c>
      <c r="AL26" s="560">
        <v>23</v>
      </c>
      <c r="AM26" s="86">
        <v>15</v>
      </c>
      <c r="AN26" s="86">
        <v>10</v>
      </c>
      <c r="AO26" s="86">
        <v>676</v>
      </c>
      <c r="AP26" s="86">
        <v>516.75</v>
      </c>
      <c r="AQ26" s="86">
        <v>137.5</v>
      </c>
      <c r="AR26" s="73">
        <v>4786.760416666667</v>
      </c>
      <c r="AT26" s="566">
        <v>23</v>
      </c>
      <c r="AU26" s="388">
        <v>4786.760416666667</v>
      </c>
      <c r="AV26" s="388">
        <v>779.27777777777783</v>
      </c>
      <c r="AW26" s="388">
        <v>2081.3541666666665</v>
      </c>
      <c r="AX26" s="388">
        <v>1202.1701388888889</v>
      </c>
      <c r="AY26" s="388">
        <v>264.58333333333331</v>
      </c>
      <c r="AZ26" s="388">
        <v>459.375</v>
      </c>
    </row>
    <row r="27" spans="1:52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404" t="s">
        <v>247</v>
      </c>
      <c r="Q27" s="405">
        <f>_xlfn.MINIFS(X4:X23,X4:X23,"&lt;&gt;0")</f>
        <v>0.55555555555555558</v>
      </c>
      <c r="R27" s="405">
        <f>_xlfn.MINIFS(AN4:AN23,AN4:AN23,"&lt;&gt;0")</f>
        <v>2.5</v>
      </c>
      <c r="S27" s="407">
        <f>_xlfn.MINIFS(AY4:AY23,AY4:AY23,"&lt;&gt;0")</f>
        <v>42.333333333333336</v>
      </c>
      <c r="T27" s="38"/>
      <c r="V27" s="560">
        <v>24</v>
      </c>
      <c r="W27" s="86">
        <v>3.3482142857142856</v>
      </c>
      <c r="X27" s="86">
        <v>1.1160714285714286</v>
      </c>
      <c r="Y27" s="86">
        <v>116.07142857142857</v>
      </c>
      <c r="Z27" s="86">
        <v>625</v>
      </c>
      <c r="AA27" s="86">
        <v>178.57142857142858</v>
      </c>
      <c r="AB27" s="73">
        <v>4312.2946428571431</v>
      </c>
      <c r="AD27" s="560">
        <v>24</v>
      </c>
      <c r="AE27" s="86">
        <v>15</v>
      </c>
      <c r="AF27" s="86">
        <v>5</v>
      </c>
      <c r="AG27" s="86">
        <v>130</v>
      </c>
      <c r="AH27" s="86">
        <v>700</v>
      </c>
      <c r="AI27" s="86">
        <v>200</v>
      </c>
      <c r="AJ27" s="73">
        <v>4312.2946428571431</v>
      </c>
      <c r="AL27" s="560">
        <v>24</v>
      </c>
      <c r="AM27" s="86">
        <v>15</v>
      </c>
      <c r="AN27" s="86">
        <v>5</v>
      </c>
      <c r="AO27" s="86">
        <v>169</v>
      </c>
      <c r="AP27" s="86">
        <v>927.5</v>
      </c>
      <c r="AQ27" s="86">
        <v>250</v>
      </c>
      <c r="AR27" s="73">
        <v>4312.2946428571431</v>
      </c>
      <c r="AT27" s="566">
        <v>24</v>
      </c>
      <c r="AU27" s="388">
        <v>4312.2946428571431</v>
      </c>
      <c r="AV27" s="388">
        <v>125.24107142857143</v>
      </c>
      <c r="AW27" s="388">
        <v>2401.5625</v>
      </c>
      <c r="AX27" s="388">
        <v>1405.1339285714287</v>
      </c>
      <c r="AY27" s="388">
        <v>85.044642857142861</v>
      </c>
      <c r="AZ27" s="388">
        <v>295.3125</v>
      </c>
    </row>
    <row r="28" spans="1:52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404" t="s">
        <v>248</v>
      </c>
      <c r="Q28" s="405">
        <f>MAX(X4:X23)</f>
        <v>2.7777777777777777</v>
      </c>
      <c r="R28" s="405">
        <f>MAX(AN4:AN23)</f>
        <v>10</v>
      </c>
      <c r="S28" s="407">
        <f>MAX(AY4:AY23)</f>
        <v>211.66666666666666</v>
      </c>
      <c r="T28" s="410"/>
      <c r="V28" s="560">
        <v>25</v>
      </c>
      <c r="W28" s="86">
        <v>2.6041666666666665</v>
      </c>
      <c r="X28" s="86">
        <v>1.7361111111111112</v>
      </c>
      <c r="Y28" s="86">
        <v>125</v>
      </c>
      <c r="Z28" s="86">
        <v>541.66666666666663</v>
      </c>
      <c r="AA28" s="86">
        <v>69.444444444444443</v>
      </c>
      <c r="AB28" s="73">
        <v>3124.6493055555557</v>
      </c>
      <c r="AD28" s="560">
        <v>25</v>
      </c>
      <c r="AE28" s="86">
        <v>15</v>
      </c>
      <c r="AF28" s="86">
        <v>10</v>
      </c>
      <c r="AG28" s="86">
        <v>180</v>
      </c>
      <c r="AH28" s="86">
        <v>780</v>
      </c>
      <c r="AI28" s="86">
        <v>100</v>
      </c>
      <c r="AJ28" s="73">
        <v>3124.6493055555557</v>
      </c>
      <c r="AL28" s="560">
        <v>25</v>
      </c>
      <c r="AM28" s="86">
        <v>15</v>
      </c>
      <c r="AN28" s="86">
        <v>10</v>
      </c>
      <c r="AO28" s="86">
        <v>234</v>
      </c>
      <c r="AP28" s="86">
        <v>1033.5</v>
      </c>
      <c r="AQ28" s="86">
        <v>125</v>
      </c>
      <c r="AR28" s="73">
        <v>3124.6493055555557</v>
      </c>
      <c r="AT28" s="566">
        <v>25</v>
      </c>
      <c r="AU28" s="388">
        <v>3124.6493055555557</v>
      </c>
      <c r="AV28" s="388">
        <v>134.875</v>
      </c>
      <c r="AW28" s="388">
        <v>2081.3541666666665</v>
      </c>
      <c r="AX28" s="388">
        <v>546.44097222222217</v>
      </c>
      <c r="AY28" s="388">
        <v>132.29166666666666</v>
      </c>
      <c r="AZ28" s="388">
        <v>229.6875</v>
      </c>
    </row>
    <row r="29" spans="1:52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404" t="s">
        <v>249</v>
      </c>
      <c r="Q29" s="408">
        <f>AVERAGEIF(X4:X23,"&lt;&gt;0")</f>
        <v>1.3963359528919224</v>
      </c>
      <c r="R29" s="408">
        <f>AVERAGEIF(AN4:AN23,"&lt;&gt;0")</f>
        <v>6.7647058823529411</v>
      </c>
      <c r="S29" s="407">
        <f>AVERAGEIF(AY4:AY23,"&lt;&gt;0")</f>
        <v>106.40079961036447</v>
      </c>
      <c r="T29" s="67"/>
      <c r="V29" s="560">
        <v>26</v>
      </c>
      <c r="W29" s="86">
        <v>2.1306818181818183</v>
      </c>
      <c r="X29" s="86">
        <v>0.71022727272727271</v>
      </c>
      <c r="Y29" s="86">
        <v>443.18181818181819</v>
      </c>
      <c r="Z29" s="86">
        <v>295.45454545454544</v>
      </c>
      <c r="AA29" s="86">
        <v>113.63636363636364</v>
      </c>
      <c r="AB29" s="73">
        <v>2749.6988636363635</v>
      </c>
      <c r="AD29" s="560">
        <v>26</v>
      </c>
      <c r="AE29" s="86">
        <v>15</v>
      </c>
      <c r="AF29" s="86">
        <v>5</v>
      </c>
      <c r="AG29" s="86">
        <v>780</v>
      </c>
      <c r="AH29" s="86">
        <v>520</v>
      </c>
      <c r="AI29" s="86">
        <v>200</v>
      </c>
      <c r="AJ29" s="73">
        <v>2749.6988636363635</v>
      </c>
      <c r="AL29" s="560">
        <v>26</v>
      </c>
      <c r="AM29" s="86">
        <v>15</v>
      </c>
      <c r="AN29" s="86">
        <v>5</v>
      </c>
      <c r="AO29" s="86">
        <v>1014</v>
      </c>
      <c r="AP29" s="86">
        <v>689</v>
      </c>
      <c r="AQ29" s="86">
        <v>250</v>
      </c>
      <c r="AR29" s="73">
        <v>2749.6988636363635</v>
      </c>
      <c r="AT29" s="566">
        <v>26</v>
      </c>
      <c r="AU29" s="388">
        <v>2749.6988636363635</v>
      </c>
      <c r="AV29" s="388">
        <v>478.19318181818181</v>
      </c>
      <c r="AW29" s="388">
        <v>1135.284090909091</v>
      </c>
      <c r="AX29" s="388">
        <v>894.17613636363637</v>
      </c>
      <c r="AY29" s="388">
        <v>54.11931818181818</v>
      </c>
      <c r="AZ29" s="388">
        <v>187.92613636363637</v>
      </c>
    </row>
    <row r="30" spans="1:52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606" t="s">
        <v>356</v>
      </c>
      <c r="Q30" s="606"/>
      <c r="R30" s="404">
        <f>GETPIVOTDATA("KG POL ANIONICO  ",$AL$3)</f>
        <v>165</v>
      </c>
      <c r="S30" s="413">
        <f>R30*AY2</f>
        <v>3143250</v>
      </c>
      <c r="T30" s="91"/>
      <c r="V30" s="560">
        <v>27</v>
      </c>
      <c r="W30" s="86">
        <v>2.6041666666666665</v>
      </c>
      <c r="X30" s="86">
        <v>1.7361111111111112</v>
      </c>
      <c r="Y30" s="86">
        <v>298.61111111111109</v>
      </c>
      <c r="Z30" s="86">
        <v>416.66666666666669</v>
      </c>
      <c r="AA30" s="86">
        <v>145.83333333333334</v>
      </c>
      <c r="AB30" s="73">
        <v>3432.7482638888887</v>
      </c>
      <c r="AD30" s="560">
        <v>27</v>
      </c>
      <c r="AE30" s="86">
        <v>15</v>
      </c>
      <c r="AF30" s="86">
        <v>10</v>
      </c>
      <c r="AG30" s="86">
        <v>430</v>
      </c>
      <c r="AH30" s="86">
        <v>600</v>
      </c>
      <c r="AI30" s="86">
        <v>210</v>
      </c>
      <c r="AJ30" s="73">
        <v>3432.7482638888887</v>
      </c>
      <c r="AL30" s="560">
        <v>27</v>
      </c>
      <c r="AM30" s="86">
        <v>15</v>
      </c>
      <c r="AN30" s="86">
        <v>10</v>
      </c>
      <c r="AO30" s="86">
        <v>559</v>
      </c>
      <c r="AP30" s="86">
        <v>795</v>
      </c>
      <c r="AQ30" s="86">
        <v>262.5</v>
      </c>
      <c r="AR30" s="73">
        <v>3432.7482638888887</v>
      </c>
      <c r="AT30" s="566">
        <v>27</v>
      </c>
      <c r="AU30" s="388">
        <v>3432.7482638888887</v>
      </c>
      <c r="AV30" s="388">
        <v>322.20138888888891</v>
      </c>
      <c r="AW30" s="388">
        <v>1601.0416666666667</v>
      </c>
      <c r="AX30" s="388">
        <v>1147.5260416666667</v>
      </c>
      <c r="AY30" s="388">
        <v>132.29166666666666</v>
      </c>
      <c r="AZ30" s="388">
        <v>229.6875</v>
      </c>
    </row>
    <row r="31" spans="1:52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91"/>
      <c r="V31" s="560">
        <v>28</v>
      </c>
      <c r="W31" s="86">
        <v>2.6041666666666665</v>
      </c>
      <c r="X31" s="86">
        <v>1.3020833333333333</v>
      </c>
      <c r="Y31" s="86">
        <v>343.75</v>
      </c>
      <c r="Z31" s="86">
        <v>520.83333333333337</v>
      </c>
      <c r="AA31" s="86">
        <v>197.91666666666666</v>
      </c>
      <c r="AB31" s="73">
        <v>4258.471354166667</v>
      </c>
      <c r="AD31" s="560">
        <v>28</v>
      </c>
      <c r="AE31" s="86">
        <v>10</v>
      </c>
      <c r="AF31" s="86">
        <v>5</v>
      </c>
      <c r="AG31" s="86">
        <v>330</v>
      </c>
      <c r="AH31" s="86">
        <v>500</v>
      </c>
      <c r="AI31" s="86">
        <v>190</v>
      </c>
      <c r="AJ31" s="73">
        <v>4258.471354166667</v>
      </c>
      <c r="AL31" s="560">
        <v>28</v>
      </c>
      <c r="AM31" s="86">
        <v>10</v>
      </c>
      <c r="AN31" s="86">
        <v>5</v>
      </c>
      <c r="AO31" s="86">
        <v>429</v>
      </c>
      <c r="AP31" s="86">
        <v>662.5</v>
      </c>
      <c r="AQ31" s="86">
        <v>237.5</v>
      </c>
      <c r="AR31" s="73">
        <v>4258.471354166667</v>
      </c>
      <c r="AT31" s="566">
        <v>28</v>
      </c>
      <c r="AU31" s="388">
        <v>4258.471354166667</v>
      </c>
      <c r="AV31" s="388">
        <v>370.90625</v>
      </c>
      <c r="AW31" s="388">
        <v>2001.3020833333333</v>
      </c>
      <c r="AX31" s="388">
        <v>1557.3567708333333</v>
      </c>
      <c r="AY31" s="388">
        <v>99.21875</v>
      </c>
      <c r="AZ31" s="388">
        <v>229.6875</v>
      </c>
    </row>
    <row r="32" spans="1:52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605" t="s">
        <v>255</v>
      </c>
      <c r="Q32" s="605"/>
      <c r="R32" s="605"/>
      <c r="S32" s="605"/>
      <c r="T32" s="412"/>
      <c r="V32" s="560" t="s">
        <v>72</v>
      </c>
      <c r="W32" s="86">
        <v>2.7011303191489362</v>
      </c>
      <c r="X32" s="86">
        <v>1.371343085106383</v>
      </c>
      <c r="Y32" s="86">
        <v>272.93882978723406</v>
      </c>
      <c r="Z32" s="86">
        <v>431.5159574468085</v>
      </c>
      <c r="AA32" s="86">
        <v>120.01329787234043</v>
      </c>
      <c r="AB32" s="73">
        <v>3239.6917386968084</v>
      </c>
      <c r="AD32" s="560" t="s">
        <v>72</v>
      </c>
      <c r="AE32" s="86">
        <v>325</v>
      </c>
      <c r="AF32" s="86">
        <v>165</v>
      </c>
      <c r="AG32" s="86">
        <v>8210</v>
      </c>
      <c r="AH32" s="86">
        <v>12980</v>
      </c>
      <c r="AI32" s="86">
        <v>3610</v>
      </c>
      <c r="AJ32" s="73">
        <v>3239.6917386968084</v>
      </c>
      <c r="AL32" s="560" t="s">
        <v>72</v>
      </c>
      <c r="AM32" s="86">
        <v>325</v>
      </c>
      <c r="AN32" s="86">
        <v>165</v>
      </c>
      <c r="AO32" s="86">
        <v>10673</v>
      </c>
      <c r="AP32" s="86">
        <v>17198.5</v>
      </c>
      <c r="AQ32" s="86">
        <v>4512.5</v>
      </c>
      <c r="AR32" s="73">
        <v>3239.6917386968084</v>
      </c>
      <c r="AT32" s="566" t="s">
        <v>72</v>
      </c>
      <c r="AU32" s="388">
        <v>3239.6917386968084</v>
      </c>
      <c r="AV32" s="388">
        <v>294.50099734042556</v>
      </c>
      <c r="AW32" s="388">
        <v>1658.1000664893618</v>
      </c>
      <c r="AX32" s="388">
        <v>944.35463763297878</v>
      </c>
      <c r="AY32" s="388">
        <v>104.49634308510639</v>
      </c>
      <c r="AZ32" s="388">
        <v>238.23969414893617</v>
      </c>
    </row>
    <row r="33" spans="1:20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404"/>
      <c r="Q33" s="387" t="s">
        <v>250</v>
      </c>
      <c r="R33" s="387" t="s">
        <v>368</v>
      </c>
      <c r="S33" s="387" t="s">
        <v>362</v>
      </c>
      <c r="T33" s="38"/>
    </row>
    <row r="34" spans="1:20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404" t="s">
        <v>247</v>
      </c>
      <c r="Q34" s="405">
        <f>_xlfn.MINIFS(W4:W23,W4:W23,"&lt;&gt;0")</f>
        <v>1.5151515151515151</v>
      </c>
      <c r="R34" s="405">
        <f>_xlfn.MINIFS(AM4:AM23,AM4:AM23,"&lt;&gt;0")</f>
        <v>10</v>
      </c>
      <c r="S34" s="405">
        <f>_xlfn.MINIFS(AZ4:AZ23,AZ4:AZ23,"&lt;&gt;0")</f>
        <v>133.63636363636363</v>
      </c>
      <c r="T34" s="38"/>
    </row>
    <row r="35" spans="1:20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404" t="s">
        <v>248</v>
      </c>
      <c r="Q35" s="405">
        <f>MAX(W4:W23)</f>
        <v>3.90625</v>
      </c>
      <c r="R35" s="405">
        <f>MAX(AM4:AM23)</f>
        <v>20</v>
      </c>
      <c r="S35" s="405">
        <f>MAX(AZ4:AZ23)</f>
        <v>344.53125</v>
      </c>
      <c r="T35" s="38"/>
    </row>
    <row r="36" spans="1:20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404" t="s">
        <v>249</v>
      </c>
      <c r="Q36" s="408">
        <f>AVERAGEIF(W4:W23,"&lt;&gt;0")</f>
        <v>2.8465932097353828</v>
      </c>
      <c r="R36" s="408">
        <f>AVERAGEIF(AM4:AM23,"&lt;&gt;0")</f>
        <v>14.0625</v>
      </c>
      <c r="S36" s="408">
        <f>AVERAGEIF(AZ4:AZ23,"&lt;&gt;0")</f>
        <v>251.06952109866077</v>
      </c>
      <c r="T36" s="38"/>
    </row>
    <row r="37" spans="1:20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606" t="s">
        <v>356</v>
      </c>
      <c r="Q37" s="606"/>
      <c r="R37" s="404">
        <f>GETPIVOTDATA("KG POL CATIONICO  ",$AL$3)</f>
        <v>325</v>
      </c>
      <c r="S37" s="413">
        <f>R37*AZ2</f>
        <v>7166250</v>
      </c>
      <c r="T37" s="38"/>
    </row>
    <row r="38" spans="1:20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spans="1:20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</row>
    <row r="40" spans="1:20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</row>
    <row r="41" spans="1:20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</row>
    <row r="42" spans="1:20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</row>
    <row r="43" spans="1:20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</row>
    <row r="44" spans="1:20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</row>
    <row r="45" spans="1:20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spans="1:20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</row>
    <row r="47" spans="1:20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</row>
    <row r="48" spans="1:20" x14ac:dyDescent="0.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spans="1:20" x14ac:dyDescent="0.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</row>
    <row r="50" spans="1:20" x14ac:dyDescent="0.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spans="1:20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spans="1:20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</row>
    <row r="53" spans="1:20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spans="1:20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</row>
    <row r="55" spans="1:20" x14ac:dyDescent="0.3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</row>
    <row r="56" spans="1:20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</row>
    <row r="57" spans="1:20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58" spans="1:20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</row>
    <row r="59" spans="1:20" x14ac:dyDescent="0.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</row>
    <row r="60" spans="1:20" x14ac:dyDescent="0.3">
      <c r="A60" s="38"/>
      <c r="B60" s="38"/>
      <c r="C60" s="38"/>
      <c r="D60" s="38"/>
      <c r="E60" s="38"/>
      <c r="F60" s="38"/>
      <c r="G60" s="38"/>
      <c r="H60" s="38"/>
      <c r="I60" s="38"/>
      <c r="J60" s="67"/>
      <c r="K60" s="67"/>
      <c r="L60" s="67"/>
      <c r="M60" s="67"/>
      <c r="N60" s="67"/>
      <c r="O60" s="67"/>
      <c r="P60" s="38"/>
      <c r="Q60" s="38"/>
      <c r="R60" s="38"/>
      <c r="S60" s="38"/>
      <c r="T60" s="38"/>
    </row>
    <row r="61" spans="1:20" x14ac:dyDescent="0.3">
      <c r="A61" s="38"/>
      <c r="B61" s="38"/>
      <c r="C61" s="38"/>
      <c r="D61" s="38"/>
      <c r="E61" s="38"/>
      <c r="F61" s="38"/>
      <c r="G61" s="38"/>
      <c r="H61" s="38"/>
      <c r="I61" s="38"/>
      <c r="J61" s="67"/>
      <c r="K61" s="67"/>
      <c r="L61" s="67"/>
      <c r="M61" s="67"/>
      <c r="N61" s="67"/>
      <c r="O61" s="67"/>
      <c r="P61" s="38"/>
      <c r="Q61" s="38"/>
      <c r="R61" s="38"/>
      <c r="S61" s="38"/>
      <c r="T61" s="38"/>
    </row>
    <row r="62" spans="1:20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spans="1:20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spans="1:20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spans="1:20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spans="1:20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x14ac:dyDescent="0.3">
      <c r="A69" s="38"/>
      <c r="B69" s="38"/>
      <c r="C69" s="38"/>
      <c r="D69" s="38"/>
      <c r="E69" s="38"/>
      <c r="F69" s="38"/>
      <c r="G69" s="38"/>
      <c r="H69" s="38"/>
      <c r="I69" s="38"/>
      <c r="J69" s="414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1:20" x14ac:dyDescent="0.3">
      <c r="A70" s="38"/>
      <c r="B70" s="38"/>
      <c r="C70" s="38"/>
      <c r="D70" s="38"/>
      <c r="E70" s="38"/>
      <c r="F70" s="38"/>
      <c r="G70" s="38"/>
      <c r="H70" s="38"/>
      <c r="I70" s="38"/>
      <c r="J70" s="415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x14ac:dyDescent="0.3">
      <c r="A71" s="38"/>
      <c r="B71" s="38"/>
      <c r="C71" s="38"/>
      <c r="D71" s="38"/>
      <c r="E71" s="38"/>
      <c r="F71" s="38"/>
      <c r="G71" s="38"/>
      <c r="H71" s="38"/>
      <c r="I71" s="38"/>
      <c r="J71" s="416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spans="1:20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spans="1:20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spans="1:20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spans="1:20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spans="1:20" x14ac:dyDescent="0.3">
      <c r="A80" s="38"/>
      <c r="B80" s="607" t="s">
        <v>319</v>
      </c>
      <c r="C80" s="608"/>
      <c r="D80" s="608"/>
      <c r="E80" s="608"/>
      <c r="F80" s="608"/>
      <c r="G80" s="608"/>
      <c r="H80" s="608"/>
      <c r="I80" s="609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43.2" x14ac:dyDescent="0.3">
      <c r="A81" s="38"/>
      <c r="B81" s="417" t="s">
        <v>320</v>
      </c>
      <c r="C81" s="417" t="s">
        <v>321</v>
      </c>
      <c r="D81" s="417" t="s">
        <v>322</v>
      </c>
      <c r="E81" s="417" t="s">
        <v>323</v>
      </c>
      <c r="F81" s="417" t="s">
        <v>324</v>
      </c>
      <c r="G81" s="417" t="s">
        <v>325</v>
      </c>
      <c r="H81" s="417" t="s">
        <v>326</v>
      </c>
      <c r="I81" s="417" t="s">
        <v>327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x14ac:dyDescent="0.3">
      <c r="A82" s="38"/>
      <c r="B82" s="418">
        <f>E97</f>
        <v>1414</v>
      </c>
      <c r="C82" s="419">
        <f>F97</f>
        <v>659</v>
      </c>
      <c r="D82" s="419">
        <f>+B82-C82</f>
        <v>755</v>
      </c>
      <c r="E82" s="420">
        <f>(D82/1000000)*1000</f>
        <v>0.755</v>
      </c>
      <c r="F82" s="418">
        <f>'DB QUIMICA'!Z8</f>
        <v>30080</v>
      </c>
      <c r="G82" s="418">
        <f>+F82*E82</f>
        <v>22710.400000000001</v>
      </c>
      <c r="H82" s="421">
        <f>'DB QUIMICA'!AD8</f>
        <v>97449927.5</v>
      </c>
      <c r="I82" s="422">
        <f>H82/G82</f>
        <v>4290.9824353600106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x14ac:dyDescent="0.3">
      <c r="A84" s="38"/>
      <c r="B84" s="38"/>
      <c r="C84" s="38"/>
      <c r="D84" s="605" t="s">
        <v>352</v>
      </c>
      <c r="E84" s="605"/>
      <c r="F84" s="605"/>
      <c r="G84" s="605"/>
      <c r="H84" s="605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28.8" x14ac:dyDescent="0.3">
      <c r="A85" s="38"/>
      <c r="B85" s="38"/>
      <c r="C85" s="38"/>
      <c r="D85" s="417" t="s">
        <v>354</v>
      </c>
      <c r="E85" s="417" t="s">
        <v>353</v>
      </c>
      <c r="F85" s="417" t="s">
        <v>324</v>
      </c>
      <c r="G85" s="417" t="s">
        <v>326</v>
      </c>
      <c r="H85" s="417" t="s">
        <v>355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x14ac:dyDescent="0.3">
      <c r="A86" s="38"/>
      <c r="B86" s="38"/>
      <c r="C86" s="38"/>
      <c r="D86" s="418">
        <v>14601</v>
      </c>
      <c r="E86" s="420">
        <f>+D86/F86</f>
        <v>0.48540558510638299</v>
      </c>
      <c r="F86" s="418">
        <f>+F82</f>
        <v>30080</v>
      </c>
      <c r="G86" s="421">
        <f>H82</f>
        <v>97449927.5</v>
      </c>
      <c r="H86" s="422">
        <f>G86/D86</f>
        <v>6674.1954318197386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0" spans="1:20" ht="15" thickBot="1" x14ac:dyDescent="0.35">
      <c r="B90" s="587"/>
      <c r="C90" s="587"/>
      <c r="D90" s="587"/>
      <c r="E90" s="587"/>
      <c r="F90" s="587"/>
    </row>
    <row r="91" spans="1:20" ht="18.600000000000001" thickBot="1" x14ac:dyDescent="0.35">
      <c r="B91" s="591" t="s">
        <v>342</v>
      </c>
      <c r="C91" s="592"/>
      <c r="D91" s="593"/>
      <c r="E91" s="385" t="s">
        <v>346</v>
      </c>
      <c r="F91" s="386" t="s">
        <v>347</v>
      </c>
    </row>
    <row r="92" spans="1:20" x14ac:dyDescent="0.3">
      <c r="B92" s="588" t="s">
        <v>349</v>
      </c>
      <c r="C92" s="589"/>
      <c r="D92" s="589"/>
      <c r="E92" s="589"/>
      <c r="F92" s="590"/>
    </row>
    <row r="93" spans="1:20" x14ac:dyDescent="0.3">
      <c r="B93" s="594" t="s">
        <v>249</v>
      </c>
      <c r="C93" s="595"/>
      <c r="D93" s="596"/>
      <c r="E93" s="89">
        <v>5741</v>
      </c>
      <c r="F93" s="94">
        <v>629</v>
      </c>
    </row>
    <row r="94" spans="1:20" x14ac:dyDescent="0.3">
      <c r="B94" s="381" t="s">
        <v>343</v>
      </c>
      <c r="C94" s="379"/>
      <c r="D94" s="380"/>
      <c r="E94" s="89">
        <v>8432</v>
      </c>
      <c r="F94" s="94">
        <v>1245</v>
      </c>
    </row>
    <row r="95" spans="1:20" ht="15" thickBot="1" x14ac:dyDescent="0.35">
      <c r="B95" s="382" t="s">
        <v>348</v>
      </c>
      <c r="C95" s="383"/>
      <c r="D95" s="384"/>
      <c r="E95" s="400">
        <v>0.33429999999999999</v>
      </c>
      <c r="F95" s="399">
        <v>0.63590000000000002</v>
      </c>
    </row>
    <row r="96" spans="1:20" x14ac:dyDescent="0.3">
      <c r="B96" s="599" t="s">
        <v>350</v>
      </c>
      <c r="C96" s="600"/>
      <c r="D96" s="600"/>
      <c r="E96" s="600"/>
      <c r="F96" s="601"/>
    </row>
    <row r="97" spans="2:7" x14ac:dyDescent="0.3">
      <c r="B97" s="594" t="s">
        <v>249</v>
      </c>
      <c r="C97" s="595"/>
      <c r="D97" s="596"/>
      <c r="E97" s="89">
        <v>1414</v>
      </c>
      <c r="F97" s="94">
        <v>659</v>
      </c>
    </row>
    <row r="98" spans="2:7" x14ac:dyDescent="0.3">
      <c r="B98" s="381" t="s">
        <v>343</v>
      </c>
      <c r="C98" s="379"/>
      <c r="D98" s="380"/>
      <c r="E98" s="89">
        <v>1723</v>
      </c>
      <c r="F98" s="94">
        <v>858.5</v>
      </c>
    </row>
    <row r="99" spans="2:7" ht="15" thickBot="1" x14ac:dyDescent="0.35">
      <c r="B99" s="381" t="s">
        <v>348</v>
      </c>
      <c r="C99" s="379"/>
      <c r="D99" s="380"/>
      <c r="E99" s="400">
        <v>0.14510000000000001</v>
      </c>
      <c r="F99" s="399">
        <v>0.17699999999999999</v>
      </c>
    </row>
    <row r="100" spans="2:7" ht="15" thickBot="1" x14ac:dyDescent="0.35">
      <c r="B100" s="382" t="s">
        <v>344</v>
      </c>
      <c r="C100" s="383"/>
      <c r="D100" s="384"/>
      <c r="E100" s="597">
        <f>+G82</f>
        <v>22710.400000000001</v>
      </c>
      <c r="F100" s="598"/>
    </row>
    <row r="101" spans="2:7" x14ac:dyDescent="0.3">
      <c r="B101" s="602" t="s">
        <v>351</v>
      </c>
      <c r="C101" s="603"/>
      <c r="D101" s="603"/>
      <c r="E101" s="603"/>
      <c r="F101" s="604"/>
    </row>
    <row r="102" spans="2:7" x14ac:dyDescent="0.3">
      <c r="B102" s="594" t="s">
        <v>249</v>
      </c>
      <c r="C102" s="595"/>
      <c r="D102" s="596"/>
      <c r="E102" s="89">
        <v>748</v>
      </c>
      <c r="F102" s="94">
        <v>33</v>
      </c>
    </row>
    <row r="103" spans="2:7" x14ac:dyDescent="0.3">
      <c r="B103" s="381" t="s">
        <v>343</v>
      </c>
      <c r="C103" s="379"/>
      <c r="D103" s="380"/>
      <c r="E103" s="89">
        <v>1397</v>
      </c>
      <c r="F103" s="94">
        <v>64.099999999999994</v>
      </c>
    </row>
    <row r="104" spans="2:7" ht="15" thickBot="1" x14ac:dyDescent="0.35">
      <c r="B104" s="381" t="s">
        <v>348</v>
      </c>
      <c r="C104" s="379"/>
      <c r="D104" s="380"/>
      <c r="E104" s="400">
        <v>0.48630000000000001</v>
      </c>
      <c r="F104" s="399">
        <v>0.64490000000000003</v>
      </c>
    </row>
    <row r="105" spans="2:7" ht="15" thickBot="1" x14ac:dyDescent="0.35">
      <c r="B105" s="382" t="s">
        <v>345</v>
      </c>
      <c r="C105" s="383"/>
      <c r="D105" s="384"/>
      <c r="E105" s="597">
        <f>D86</f>
        <v>14601</v>
      </c>
      <c r="F105" s="598"/>
      <c r="G105" s="406"/>
    </row>
    <row r="106" spans="2:7" x14ac:dyDescent="0.3">
      <c r="G106">
        <v>25</v>
      </c>
    </row>
  </sheetData>
  <mergeCells count="22">
    <mergeCell ref="D84:H84"/>
    <mergeCell ref="P37:Q37"/>
    <mergeCell ref="P11:T11"/>
    <mergeCell ref="P18:T18"/>
    <mergeCell ref="B80:I80"/>
    <mergeCell ref="P30:Q30"/>
    <mergeCell ref="P32:S32"/>
    <mergeCell ref="P4:T4"/>
    <mergeCell ref="P9:Q9"/>
    <mergeCell ref="P16:Q16"/>
    <mergeCell ref="P23:Q23"/>
    <mergeCell ref="P25:S25"/>
    <mergeCell ref="B90:F90"/>
    <mergeCell ref="B92:F92"/>
    <mergeCell ref="B91:D91"/>
    <mergeCell ref="B93:D93"/>
    <mergeCell ref="E105:F105"/>
    <mergeCell ref="B97:D97"/>
    <mergeCell ref="B96:F96"/>
    <mergeCell ref="B102:D102"/>
    <mergeCell ref="B101:F101"/>
    <mergeCell ref="E100:F100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50DE-129E-44D3-B36A-77043D613497}">
  <sheetPr>
    <tabColor rgb="FF00B050"/>
  </sheetPr>
  <dimension ref="A1:R121"/>
  <sheetViews>
    <sheetView topLeftCell="A88" zoomScale="85" zoomScaleNormal="85" workbookViewId="0">
      <selection activeCell="A3" sqref="A3:N12"/>
    </sheetView>
  </sheetViews>
  <sheetFormatPr baseColWidth="10" defaultRowHeight="14.4" x14ac:dyDescent="0.3"/>
  <cols>
    <col min="15" max="18" width="11.5546875" style="376"/>
  </cols>
  <sheetData>
    <row r="1" spans="1:14" ht="23.4" x14ac:dyDescent="0.45">
      <c r="A1" s="616" t="s">
        <v>246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</row>
    <row r="2" spans="1:14" x14ac:dyDescent="0.3">
      <c r="A2" s="615" t="s">
        <v>328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</row>
    <row r="3" spans="1:14" ht="18.600000000000001" customHeight="1" x14ac:dyDescent="0.3">
      <c r="A3" s="617"/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9"/>
    </row>
    <row r="4" spans="1:14" ht="18.600000000000001" customHeight="1" x14ac:dyDescent="0.3">
      <c r="A4" s="620"/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  <c r="N4" s="621"/>
    </row>
    <row r="5" spans="1:14" ht="18.600000000000001" customHeight="1" x14ac:dyDescent="0.3">
      <c r="A5" s="620"/>
      <c r="B5" s="587"/>
      <c r="C5" s="587"/>
      <c r="D5" s="587"/>
      <c r="E5" s="587"/>
      <c r="F5" s="587"/>
      <c r="G5" s="587"/>
      <c r="H5" s="587"/>
      <c r="I5" s="587"/>
      <c r="J5" s="587"/>
      <c r="K5" s="587"/>
      <c r="L5" s="587"/>
      <c r="M5" s="587"/>
      <c r="N5" s="621"/>
    </row>
    <row r="6" spans="1:14" ht="18.600000000000001" customHeight="1" x14ac:dyDescent="0.3">
      <c r="A6" s="620"/>
      <c r="B6" s="587"/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621"/>
    </row>
    <row r="7" spans="1:14" ht="18.600000000000001" customHeight="1" x14ac:dyDescent="0.3">
      <c r="A7" s="620"/>
      <c r="B7" s="587"/>
      <c r="C7" s="587"/>
      <c r="D7" s="587"/>
      <c r="E7" s="587"/>
      <c r="F7" s="587"/>
      <c r="G7" s="587"/>
      <c r="H7" s="587"/>
      <c r="I7" s="587"/>
      <c r="J7" s="587"/>
      <c r="K7" s="587"/>
      <c r="L7" s="587"/>
      <c r="M7" s="587"/>
      <c r="N7" s="621"/>
    </row>
    <row r="8" spans="1:14" ht="18.600000000000001" customHeight="1" x14ac:dyDescent="0.3">
      <c r="A8" s="620"/>
      <c r="B8" s="587"/>
      <c r="C8" s="587"/>
      <c r="D8" s="587"/>
      <c r="E8" s="587"/>
      <c r="F8" s="587"/>
      <c r="G8" s="587"/>
      <c r="H8" s="587"/>
      <c r="I8" s="587"/>
      <c r="J8" s="587"/>
      <c r="K8" s="587"/>
      <c r="L8" s="587"/>
      <c r="M8" s="587"/>
      <c r="N8" s="621"/>
    </row>
    <row r="9" spans="1:14" ht="18.600000000000001" customHeight="1" x14ac:dyDescent="0.3">
      <c r="A9" s="620"/>
      <c r="B9" s="587"/>
      <c r="C9" s="587"/>
      <c r="D9" s="587"/>
      <c r="E9" s="587"/>
      <c r="F9" s="587"/>
      <c r="G9" s="587"/>
      <c r="H9" s="587"/>
      <c r="I9" s="587"/>
      <c r="J9" s="587"/>
      <c r="K9" s="587"/>
      <c r="L9" s="587"/>
      <c r="M9" s="587"/>
      <c r="N9" s="621"/>
    </row>
    <row r="10" spans="1:14" ht="18.600000000000001" customHeight="1" x14ac:dyDescent="0.3">
      <c r="A10" s="620"/>
      <c r="B10" s="587"/>
      <c r="C10" s="587"/>
      <c r="D10" s="587"/>
      <c r="E10" s="587"/>
      <c r="F10" s="587"/>
      <c r="G10" s="587"/>
      <c r="H10" s="587"/>
      <c r="I10" s="587"/>
      <c r="J10" s="587"/>
      <c r="K10" s="587"/>
      <c r="L10" s="587"/>
      <c r="M10" s="587"/>
      <c r="N10" s="621"/>
    </row>
    <row r="11" spans="1:14" ht="18.600000000000001" customHeight="1" x14ac:dyDescent="0.3">
      <c r="A11" s="620"/>
      <c r="B11" s="587"/>
      <c r="C11" s="587"/>
      <c r="D11" s="587"/>
      <c r="E11" s="587"/>
      <c r="F11" s="587"/>
      <c r="G11" s="587"/>
      <c r="H11" s="587"/>
      <c r="I11" s="587"/>
      <c r="J11" s="587"/>
      <c r="K11" s="587"/>
      <c r="L11" s="587"/>
      <c r="M11" s="587"/>
      <c r="N11" s="621"/>
    </row>
    <row r="12" spans="1:14" ht="18.600000000000001" customHeight="1" x14ac:dyDescent="0.3">
      <c r="A12" s="622"/>
      <c r="B12" s="623"/>
      <c r="C12" s="623"/>
      <c r="D12" s="623"/>
      <c r="E12" s="623"/>
      <c r="F12" s="623"/>
      <c r="G12" s="623"/>
      <c r="H12" s="623"/>
      <c r="I12" s="623"/>
      <c r="J12" s="623"/>
      <c r="K12" s="623"/>
      <c r="L12" s="623"/>
      <c r="M12" s="623"/>
      <c r="N12" s="624"/>
    </row>
    <row r="13" spans="1:14" ht="20.399999999999999" customHeight="1" x14ac:dyDescent="0.3">
      <c r="A13" s="615" t="s">
        <v>328</v>
      </c>
      <c r="B13" s="615"/>
      <c r="C13" s="615"/>
      <c r="D13" s="615"/>
      <c r="E13" s="615"/>
      <c r="F13" s="615"/>
      <c r="G13" s="615"/>
      <c r="H13" s="615"/>
      <c r="I13" s="615"/>
      <c r="J13" s="615"/>
      <c r="K13" s="615"/>
      <c r="L13" s="615"/>
      <c r="M13" s="615"/>
      <c r="N13" s="615"/>
    </row>
    <row r="14" spans="1:14" ht="20.399999999999999" customHeight="1" x14ac:dyDescent="0.3">
      <c r="A14" s="617"/>
      <c r="B14" s="618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8"/>
      <c r="N14" s="619"/>
    </row>
    <row r="15" spans="1:14" ht="20.399999999999999" customHeight="1" x14ac:dyDescent="0.3">
      <c r="A15" s="620"/>
      <c r="B15" s="587"/>
      <c r="C15" s="587"/>
      <c r="D15" s="587"/>
      <c r="E15" s="587"/>
      <c r="F15" s="587"/>
      <c r="G15" s="587"/>
      <c r="H15" s="587"/>
      <c r="I15" s="587"/>
      <c r="J15" s="587"/>
      <c r="K15" s="587"/>
      <c r="L15" s="587"/>
      <c r="M15" s="587"/>
      <c r="N15" s="621"/>
    </row>
    <row r="16" spans="1:14" ht="20.399999999999999" customHeight="1" x14ac:dyDescent="0.3">
      <c r="A16" s="620"/>
      <c r="B16" s="587"/>
      <c r="C16" s="587"/>
      <c r="D16" s="587"/>
      <c r="E16" s="587"/>
      <c r="F16" s="587"/>
      <c r="G16" s="587"/>
      <c r="H16" s="587"/>
      <c r="I16" s="587"/>
      <c r="J16" s="587"/>
      <c r="K16" s="587"/>
      <c r="L16" s="587"/>
      <c r="M16" s="587"/>
      <c r="N16" s="621"/>
    </row>
    <row r="17" spans="1:14" ht="20.399999999999999" customHeight="1" x14ac:dyDescent="0.3">
      <c r="A17" s="620"/>
      <c r="B17" s="587"/>
      <c r="C17" s="587"/>
      <c r="D17" s="587"/>
      <c r="E17" s="587"/>
      <c r="F17" s="587"/>
      <c r="G17" s="587"/>
      <c r="H17" s="587"/>
      <c r="I17" s="587"/>
      <c r="J17" s="587"/>
      <c r="K17" s="587"/>
      <c r="L17" s="587"/>
      <c r="M17" s="587"/>
      <c r="N17" s="621"/>
    </row>
    <row r="18" spans="1:14" ht="20.399999999999999" customHeight="1" x14ac:dyDescent="0.3">
      <c r="A18" s="620"/>
      <c r="B18" s="587"/>
      <c r="C18" s="587"/>
      <c r="D18" s="587"/>
      <c r="E18" s="587"/>
      <c r="F18" s="587"/>
      <c r="G18" s="587"/>
      <c r="H18" s="587"/>
      <c r="I18" s="587"/>
      <c r="J18" s="587"/>
      <c r="K18" s="587"/>
      <c r="L18" s="587"/>
      <c r="M18" s="587"/>
      <c r="N18" s="621"/>
    </row>
    <row r="19" spans="1:14" ht="20.399999999999999" customHeight="1" x14ac:dyDescent="0.3">
      <c r="A19" s="620"/>
      <c r="B19" s="587"/>
      <c r="C19" s="587"/>
      <c r="D19" s="587"/>
      <c r="E19" s="587"/>
      <c r="F19" s="587"/>
      <c r="G19" s="587"/>
      <c r="H19" s="587"/>
      <c r="I19" s="587"/>
      <c r="J19" s="587"/>
      <c r="K19" s="587"/>
      <c r="L19" s="587"/>
      <c r="M19" s="587"/>
      <c r="N19" s="621"/>
    </row>
    <row r="20" spans="1:14" ht="20.399999999999999" customHeight="1" x14ac:dyDescent="0.3">
      <c r="A20" s="620"/>
      <c r="B20" s="587"/>
      <c r="C20" s="587"/>
      <c r="D20" s="587"/>
      <c r="E20" s="587"/>
      <c r="F20" s="587"/>
      <c r="G20" s="587"/>
      <c r="H20" s="587"/>
      <c r="I20" s="587"/>
      <c r="J20" s="587"/>
      <c r="K20" s="587"/>
      <c r="L20" s="587"/>
      <c r="M20" s="587"/>
      <c r="N20" s="621"/>
    </row>
    <row r="21" spans="1:14" ht="20.399999999999999" customHeight="1" x14ac:dyDescent="0.3">
      <c r="A21" s="620"/>
      <c r="B21" s="587"/>
      <c r="C21" s="587"/>
      <c r="D21" s="587"/>
      <c r="E21" s="587"/>
      <c r="F21" s="587"/>
      <c r="G21" s="587"/>
      <c r="H21" s="587"/>
      <c r="I21" s="587"/>
      <c r="J21" s="587"/>
      <c r="K21" s="587"/>
      <c r="L21" s="587"/>
      <c r="M21" s="587"/>
      <c r="N21" s="621"/>
    </row>
    <row r="22" spans="1:14" ht="20.399999999999999" customHeight="1" x14ac:dyDescent="0.3">
      <c r="A22" s="620"/>
      <c r="B22" s="587"/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7"/>
      <c r="N22" s="621"/>
    </row>
    <row r="23" spans="1:14" ht="20.399999999999999" customHeight="1" x14ac:dyDescent="0.3">
      <c r="A23" s="622"/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4"/>
    </row>
    <row r="24" spans="1:14" x14ac:dyDescent="0.3">
      <c r="A24" s="615" t="s">
        <v>245</v>
      </c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</row>
    <row r="25" spans="1:14" x14ac:dyDescent="0.3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</row>
    <row r="26" spans="1:14" x14ac:dyDescent="0.3">
      <c r="A26" s="615"/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</row>
    <row r="27" spans="1:14" x14ac:dyDescent="0.3">
      <c r="A27" s="615"/>
      <c r="B27" s="615"/>
      <c r="C27" s="615"/>
      <c r="D27" s="615"/>
      <c r="E27" s="615"/>
      <c r="F27" s="615"/>
      <c r="G27" s="615"/>
      <c r="H27" s="615"/>
      <c r="I27" s="615"/>
      <c r="J27" s="615"/>
      <c r="K27" s="615"/>
      <c r="L27" s="615"/>
      <c r="M27" s="615"/>
      <c r="N27" s="615"/>
    </row>
    <row r="28" spans="1:14" x14ac:dyDescent="0.3">
      <c r="A28" s="615"/>
      <c r="B28" s="615"/>
      <c r="C28" s="615"/>
      <c r="D28" s="615"/>
      <c r="E28" s="615"/>
      <c r="F28" s="615"/>
      <c r="G28" s="615"/>
      <c r="H28" s="615"/>
      <c r="I28" s="615"/>
      <c r="J28" s="615"/>
      <c r="K28" s="615"/>
      <c r="L28" s="615"/>
      <c r="M28" s="615"/>
      <c r="N28" s="615"/>
    </row>
    <row r="29" spans="1:14" x14ac:dyDescent="0.3">
      <c r="A29" s="615"/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615"/>
      <c r="N29" s="615"/>
    </row>
    <row r="30" spans="1:14" x14ac:dyDescent="0.3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  <c r="M30" s="615"/>
      <c r="N30" s="615"/>
    </row>
    <row r="31" spans="1:14" x14ac:dyDescent="0.3">
      <c r="A31" s="615"/>
      <c r="B31" s="615"/>
      <c r="C31" s="615"/>
      <c r="D31" s="615"/>
      <c r="E31" s="615"/>
      <c r="F31" s="615"/>
      <c r="G31" s="615"/>
      <c r="H31" s="615"/>
      <c r="I31" s="615"/>
      <c r="J31" s="615"/>
      <c r="K31" s="615"/>
      <c r="L31" s="615"/>
      <c r="M31" s="615"/>
      <c r="N31" s="615"/>
    </row>
    <row r="32" spans="1:14" x14ac:dyDescent="0.3">
      <c r="A32" s="615"/>
      <c r="B32" s="615"/>
      <c r="C32" s="615"/>
      <c r="D32" s="615"/>
      <c r="E32" s="615"/>
      <c r="F32" s="615"/>
      <c r="G32" s="615"/>
      <c r="H32" s="615"/>
      <c r="I32" s="615"/>
      <c r="J32" s="615"/>
      <c r="K32" s="615"/>
      <c r="L32" s="615"/>
      <c r="M32" s="615"/>
      <c r="N32" s="615"/>
    </row>
    <row r="33" spans="1:14" x14ac:dyDescent="0.3">
      <c r="A33" s="615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</row>
    <row r="34" spans="1:14" x14ac:dyDescent="0.3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</row>
    <row r="35" spans="1:14" x14ac:dyDescent="0.3">
      <c r="A35" s="615"/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  <c r="N35" s="615"/>
    </row>
    <row r="36" spans="1:14" x14ac:dyDescent="0.3">
      <c r="A36" s="615"/>
      <c r="B36" s="615"/>
      <c r="C36" s="615"/>
      <c r="D36" s="615"/>
      <c r="E36" s="615"/>
      <c r="F36" s="615"/>
      <c r="G36" s="615"/>
      <c r="H36" s="615"/>
      <c r="I36" s="615"/>
      <c r="J36" s="615"/>
      <c r="K36" s="615"/>
      <c r="L36" s="615"/>
      <c r="M36" s="615"/>
      <c r="N36" s="615"/>
    </row>
    <row r="37" spans="1:14" x14ac:dyDescent="0.3">
      <c r="A37" s="615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</row>
    <row r="38" spans="1:14" x14ac:dyDescent="0.3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</row>
    <row r="39" spans="1:14" x14ac:dyDescent="0.3">
      <c r="A39" s="615"/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</row>
    <row r="40" spans="1:14" x14ac:dyDescent="0.3">
      <c r="A40" s="615"/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</row>
    <row r="41" spans="1:14" x14ac:dyDescent="0.3">
      <c r="A41" s="615"/>
      <c r="B41" s="615"/>
      <c r="C41" s="615"/>
      <c r="D41" s="615"/>
      <c r="E41" s="615"/>
      <c r="F41" s="615"/>
      <c r="G41" s="615"/>
      <c r="H41" s="615"/>
      <c r="I41" s="615"/>
      <c r="J41" s="615"/>
      <c r="K41" s="615"/>
      <c r="L41" s="615"/>
      <c r="M41" s="615"/>
      <c r="N41" s="615"/>
    </row>
    <row r="42" spans="1:14" x14ac:dyDescent="0.3">
      <c r="A42" s="615"/>
      <c r="B42" s="615"/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5"/>
      <c r="N42" s="615"/>
    </row>
    <row r="43" spans="1:14" x14ac:dyDescent="0.3">
      <c r="A43" s="615"/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5"/>
      <c r="N43" s="615"/>
    </row>
    <row r="44" spans="1:14" x14ac:dyDescent="0.3">
      <c r="A44" s="615"/>
      <c r="B44" s="615"/>
      <c r="C44" s="615"/>
      <c r="D44" s="615"/>
      <c r="E44" s="615"/>
      <c r="F44" s="615"/>
      <c r="G44" s="615"/>
      <c r="H44" s="615"/>
      <c r="I44" s="615"/>
      <c r="J44" s="615"/>
      <c r="K44" s="615"/>
      <c r="L44" s="615"/>
      <c r="M44" s="615"/>
      <c r="N44" s="615"/>
    </row>
    <row r="45" spans="1:14" x14ac:dyDescent="0.3">
      <c r="A45" s="615"/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</row>
    <row r="46" spans="1:14" x14ac:dyDescent="0.3">
      <c r="A46" s="615"/>
      <c r="B46" s="615"/>
      <c r="C46" s="615"/>
      <c r="D46" s="615"/>
      <c r="E46" s="615"/>
      <c r="F46" s="615"/>
      <c r="G46" s="615"/>
      <c r="H46" s="615"/>
      <c r="I46" s="615"/>
      <c r="J46" s="615"/>
      <c r="K46" s="615"/>
      <c r="L46" s="615"/>
      <c r="M46" s="615"/>
      <c r="N46" s="615"/>
    </row>
    <row r="47" spans="1:14" x14ac:dyDescent="0.3">
      <c r="A47" s="615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</row>
    <row r="48" spans="1:14" x14ac:dyDescent="0.3">
      <c r="A48" s="615"/>
      <c r="B48" s="615"/>
      <c r="C48" s="615"/>
      <c r="D48" s="615"/>
      <c r="E48" s="615"/>
      <c r="F48" s="615"/>
      <c r="G48" s="615"/>
      <c r="H48" s="615"/>
      <c r="I48" s="615"/>
      <c r="J48" s="615"/>
      <c r="K48" s="615"/>
      <c r="L48" s="615"/>
      <c r="M48" s="615"/>
      <c r="N48" s="615"/>
    </row>
    <row r="49" spans="1:14" x14ac:dyDescent="0.3">
      <c r="A49" s="615"/>
      <c r="B49" s="615"/>
      <c r="C49" s="615"/>
      <c r="D49" s="615"/>
      <c r="E49" s="615"/>
      <c r="F49" s="615"/>
      <c r="G49" s="615"/>
      <c r="H49" s="615"/>
      <c r="I49" s="615"/>
      <c r="J49" s="615"/>
      <c r="K49" s="615"/>
      <c r="L49" s="615"/>
      <c r="M49" s="615"/>
      <c r="N49" s="615"/>
    </row>
    <row r="50" spans="1:14" x14ac:dyDescent="0.3">
      <c r="A50" s="615"/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</row>
    <row r="51" spans="1:14" x14ac:dyDescent="0.3">
      <c r="A51" s="615"/>
      <c r="B51" s="615"/>
      <c r="C51" s="615"/>
      <c r="D51" s="615"/>
      <c r="E51" s="615"/>
      <c r="F51" s="615"/>
      <c r="G51" s="615"/>
      <c r="H51" s="615"/>
      <c r="I51" s="615"/>
      <c r="J51" s="615"/>
      <c r="K51" s="615"/>
      <c r="L51" s="615"/>
      <c r="M51" s="615"/>
      <c r="N51" s="615"/>
    </row>
    <row r="52" spans="1:14" x14ac:dyDescent="0.3">
      <c r="A52" s="615"/>
      <c r="B52" s="615"/>
      <c r="C52" s="615"/>
      <c r="D52" s="615"/>
      <c r="E52" s="615"/>
      <c r="F52" s="615"/>
      <c r="G52" s="615"/>
      <c r="H52" s="615"/>
      <c r="I52" s="615"/>
      <c r="J52" s="615"/>
      <c r="K52" s="615"/>
      <c r="L52" s="615"/>
      <c r="M52" s="615"/>
      <c r="N52" s="615"/>
    </row>
    <row r="53" spans="1:14" x14ac:dyDescent="0.3">
      <c r="A53" s="615"/>
      <c r="B53" s="615"/>
      <c r="C53" s="615"/>
      <c r="D53" s="615"/>
      <c r="E53" s="615"/>
      <c r="F53" s="615"/>
      <c r="G53" s="615"/>
      <c r="H53" s="615"/>
      <c r="I53" s="615"/>
      <c r="J53" s="615"/>
      <c r="K53" s="615"/>
      <c r="L53" s="615"/>
      <c r="M53" s="615"/>
      <c r="N53" s="615"/>
    </row>
    <row r="54" spans="1:14" x14ac:dyDescent="0.3">
      <c r="A54" s="615"/>
      <c r="B54" s="615"/>
      <c r="C54" s="615"/>
      <c r="D54" s="615"/>
      <c r="E54" s="615"/>
      <c r="F54" s="615"/>
      <c r="G54" s="615"/>
      <c r="H54" s="615"/>
      <c r="I54" s="615"/>
      <c r="J54" s="615"/>
      <c r="K54" s="615"/>
      <c r="L54" s="615"/>
      <c r="M54" s="615"/>
      <c r="N54" s="615"/>
    </row>
    <row r="55" spans="1:14" x14ac:dyDescent="0.3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</row>
    <row r="56" spans="1:14" x14ac:dyDescent="0.3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</row>
    <row r="57" spans="1:14" x14ac:dyDescent="0.3">
      <c r="A57" s="615"/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</row>
    <row r="58" spans="1:14" x14ac:dyDescent="0.3">
      <c r="A58" s="615"/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</row>
    <row r="59" spans="1:14" x14ac:dyDescent="0.3">
      <c r="A59" s="615"/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</row>
    <row r="60" spans="1:14" x14ac:dyDescent="0.3">
      <c r="A60" s="615"/>
      <c r="B60" s="615"/>
      <c r="C60" s="615"/>
      <c r="D60" s="615"/>
      <c r="E60" s="615"/>
      <c r="F60" s="615"/>
      <c r="G60" s="615"/>
      <c r="H60" s="615"/>
      <c r="I60" s="615"/>
      <c r="J60" s="615"/>
      <c r="K60" s="615"/>
      <c r="L60" s="615"/>
      <c r="M60" s="615"/>
      <c r="N60" s="615"/>
    </row>
    <row r="61" spans="1:14" x14ac:dyDescent="0.3">
      <c r="A61" s="615"/>
      <c r="B61" s="615"/>
      <c r="C61" s="615"/>
      <c r="D61" s="615"/>
      <c r="E61" s="615"/>
      <c r="F61" s="615"/>
      <c r="G61" s="615"/>
      <c r="H61" s="615"/>
      <c r="I61" s="615"/>
      <c r="J61" s="615"/>
      <c r="K61" s="615"/>
      <c r="L61" s="615"/>
      <c r="M61" s="615"/>
      <c r="N61" s="615"/>
    </row>
    <row r="62" spans="1:14" x14ac:dyDescent="0.3">
      <c r="A62" s="615"/>
      <c r="B62" s="615"/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5"/>
      <c r="N62" s="615"/>
    </row>
    <row r="63" spans="1:14" x14ac:dyDescent="0.3">
      <c r="A63" s="615"/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5"/>
      <c r="N63" s="615"/>
    </row>
    <row r="64" spans="1:14" x14ac:dyDescent="0.3">
      <c r="A64" s="615"/>
      <c r="B64" s="615"/>
      <c r="C64" s="615"/>
      <c r="D64" s="615"/>
      <c r="E64" s="615"/>
      <c r="F64" s="615"/>
      <c r="G64" s="615"/>
      <c r="H64" s="615"/>
      <c r="I64" s="615"/>
      <c r="J64" s="615"/>
      <c r="K64" s="615"/>
      <c r="L64" s="615"/>
      <c r="M64" s="615"/>
      <c r="N64" s="615"/>
    </row>
    <row r="65" spans="1:14" x14ac:dyDescent="0.3">
      <c r="A65" s="615"/>
      <c r="B65" s="615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</row>
    <row r="66" spans="1:14" x14ac:dyDescent="0.3">
      <c r="A66" s="615"/>
      <c r="B66" s="615"/>
      <c r="C66" s="615"/>
      <c r="D66" s="615"/>
      <c r="E66" s="615"/>
      <c r="F66" s="615"/>
      <c r="G66" s="615"/>
      <c r="H66" s="615"/>
      <c r="I66" s="615"/>
      <c r="J66" s="615"/>
      <c r="K66" s="615"/>
      <c r="L66" s="615"/>
      <c r="M66" s="615"/>
      <c r="N66" s="615"/>
    </row>
    <row r="67" spans="1:14" x14ac:dyDescent="0.3">
      <c r="A67" s="615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</row>
    <row r="68" spans="1:14" x14ac:dyDescent="0.3">
      <c r="A68" s="615" t="s">
        <v>256</v>
      </c>
      <c r="B68" s="615"/>
      <c r="C68" s="615"/>
      <c r="D68" s="615"/>
      <c r="E68" s="615"/>
      <c r="F68" s="615"/>
      <c r="G68" s="615"/>
      <c r="H68" s="615"/>
      <c r="I68" s="615"/>
      <c r="J68" s="615"/>
      <c r="K68" s="615"/>
      <c r="L68" s="615"/>
      <c r="M68" s="615"/>
      <c r="N68" s="615"/>
    </row>
    <row r="69" spans="1:14" x14ac:dyDescent="0.3">
      <c r="A69" s="615"/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</row>
    <row r="70" spans="1:14" x14ac:dyDescent="0.3">
      <c r="A70" s="615"/>
      <c r="B70" s="615"/>
      <c r="C70" s="615"/>
      <c r="D70" s="615"/>
      <c r="E70" s="615"/>
      <c r="F70" s="615"/>
      <c r="G70" s="615"/>
      <c r="H70" s="615"/>
      <c r="I70" s="615"/>
      <c r="J70" s="615"/>
      <c r="K70" s="615"/>
      <c r="L70" s="615"/>
      <c r="M70" s="615"/>
      <c r="N70" s="615"/>
    </row>
    <row r="71" spans="1:14" x14ac:dyDescent="0.3">
      <c r="A71" s="615"/>
      <c r="B71" s="615"/>
      <c r="C71" s="615"/>
      <c r="D71" s="615"/>
      <c r="E71" s="615"/>
      <c r="F71" s="615"/>
      <c r="G71" s="615"/>
      <c r="H71" s="615"/>
      <c r="I71" s="615"/>
      <c r="J71" s="615"/>
      <c r="K71" s="615"/>
      <c r="L71" s="615"/>
      <c r="M71" s="615"/>
      <c r="N71" s="615"/>
    </row>
    <row r="72" spans="1:14" x14ac:dyDescent="0.3">
      <c r="A72" s="615"/>
      <c r="B72" s="615"/>
      <c r="C72" s="615"/>
      <c r="D72" s="615"/>
      <c r="E72" s="615"/>
      <c r="F72" s="615"/>
      <c r="G72" s="615"/>
      <c r="H72" s="615"/>
      <c r="I72" s="615"/>
      <c r="J72" s="615"/>
      <c r="K72" s="615"/>
      <c r="L72" s="615"/>
      <c r="M72" s="615"/>
      <c r="N72" s="615"/>
    </row>
    <row r="73" spans="1:14" x14ac:dyDescent="0.3">
      <c r="A73" s="615"/>
      <c r="B73" s="615"/>
      <c r="C73" s="615"/>
      <c r="D73" s="615"/>
      <c r="E73" s="615"/>
      <c r="F73" s="615"/>
      <c r="G73" s="615"/>
      <c r="H73" s="615"/>
      <c r="I73" s="615"/>
      <c r="J73" s="615"/>
      <c r="K73" s="615"/>
      <c r="L73" s="615"/>
      <c r="M73" s="615"/>
      <c r="N73" s="615"/>
    </row>
    <row r="74" spans="1:14" x14ac:dyDescent="0.3">
      <c r="A74" s="615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</row>
    <row r="75" spans="1:14" x14ac:dyDescent="0.3">
      <c r="A75" s="615"/>
      <c r="B75" s="615"/>
      <c r="C75" s="615"/>
      <c r="D75" s="615"/>
      <c r="E75" s="615"/>
      <c r="F75" s="615"/>
      <c r="G75" s="615"/>
      <c r="H75" s="615"/>
      <c r="I75" s="615"/>
      <c r="J75" s="615"/>
      <c r="K75" s="615"/>
      <c r="L75" s="615"/>
      <c r="M75" s="615"/>
      <c r="N75" s="615"/>
    </row>
    <row r="76" spans="1:14" x14ac:dyDescent="0.3">
      <c r="A76" s="615"/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</row>
    <row r="77" spans="1:14" x14ac:dyDescent="0.3">
      <c r="A77" s="615"/>
      <c r="B77" s="615"/>
      <c r="C77" s="615"/>
      <c r="D77" s="615"/>
      <c r="E77" s="615"/>
      <c r="F77" s="615"/>
      <c r="G77" s="615"/>
      <c r="H77" s="615"/>
      <c r="I77" s="615"/>
      <c r="J77" s="615"/>
      <c r="K77" s="615"/>
      <c r="L77" s="615"/>
      <c r="M77" s="615"/>
      <c r="N77" s="615"/>
    </row>
    <row r="78" spans="1:14" x14ac:dyDescent="0.3">
      <c r="A78" s="615"/>
      <c r="B78" s="615"/>
      <c r="C78" s="615"/>
      <c r="D78" s="615"/>
      <c r="E78" s="615"/>
      <c r="F78" s="615"/>
      <c r="G78" s="615"/>
      <c r="H78" s="615"/>
      <c r="I78" s="615"/>
      <c r="J78" s="615"/>
      <c r="K78" s="615"/>
      <c r="L78" s="615"/>
      <c r="M78" s="615"/>
      <c r="N78" s="615"/>
    </row>
    <row r="79" spans="1:14" x14ac:dyDescent="0.3">
      <c r="A79" s="615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</row>
    <row r="80" spans="1:14" x14ac:dyDescent="0.3">
      <c r="A80" s="615"/>
      <c r="B80" s="615"/>
      <c r="C80" s="615"/>
      <c r="D80" s="615"/>
      <c r="E80" s="615"/>
      <c r="F80" s="615"/>
      <c r="G80" s="615"/>
      <c r="H80" s="615"/>
      <c r="I80" s="615"/>
      <c r="J80" s="615"/>
      <c r="K80" s="615"/>
      <c r="L80" s="615"/>
      <c r="M80" s="615"/>
      <c r="N80" s="615"/>
    </row>
    <row r="81" spans="1:14" x14ac:dyDescent="0.3">
      <c r="A81" s="615"/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</row>
    <row r="82" spans="1:14" x14ac:dyDescent="0.3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M82" s="615"/>
      <c r="N82" s="615"/>
    </row>
    <row r="83" spans="1:14" x14ac:dyDescent="0.3">
      <c r="A83" s="615"/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5"/>
      <c r="N83" s="615"/>
    </row>
    <row r="84" spans="1:14" x14ac:dyDescent="0.3">
      <c r="A84" s="615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</row>
    <row r="85" spans="1:14" x14ac:dyDescent="0.3">
      <c r="A85" s="615"/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</row>
    <row r="86" spans="1:14" x14ac:dyDescent="0.3">
      <c r="A86" s="615" t="s">
        <v>256</v>
      </c>
      <c r="B86" s="615"/>
      <c r="C86" s="615"/>
      <c r="D86" s="615"/>
      <c r="E86" s="615"/>
      <c r="F86" s="615"/>
      <c r="G86" s="615"/>
      <c r="H86" s="615"/>
      <c r="I86" s="615"/>
      <c r="J86" s="615"/>
      <c r="K86" s="615"/>
      <c r="L86" s="615"/>
      <c r="M86" s="615"/>
      <c r="N86" s="615"/>
    </row>
    <row r="87" spans="1:14" x14ac:dyDescent="0.3">
      <c r="A87" s="615"/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</row>
    <row r="88" spans="1:14" x14ac:dyDescent="0.3">
      <c r="A88" s="615"/>
      <c r="B88" s="615"/>
      <c r="C88" s="615"/>
      <c r="D88" s="615"/>
      <c r="E88" s="615"/>
      <c r="F88" s="615"/>
      <c r="G88" s="615"/>
      <c r="H88" s="615"/>
      <c r="I88" s="615"/>
      <c r="J88" s="615"/>
      <c r="K88" s="615"/>
      <c r="L88" s="615"/>
      <c r="M88" s="615"/>
      <c r="N88" s="615"/>
    </row>
    <row r="89" spans="1:14" x14ac:dyDescent="0.3">
      <c r="A89" s="615"/>
      <c r="B89" s="615"/>
      <c r="C89" s="615"/>
      <c r="D89" s="615"/>
      <c r="E89" s="615"/>
      <c r="F89" s="615"/>
      <c r="G89" s="615"/>
      <c r="H89" s="615"/>
      <c r="I89" s="615"/>
      <c r="J89" s="615"/>
      <c r="K89" s="615"/>
      <c r="L89" s="615"/>
      <c r="M89" s="615"/>
      <c r="N89" s="615"/>
    </row>
    <row r="90" spans="1:14" x14ac:dyDescent="0.3">
      <c r="A90" s="615"/>
      <c r="B90" s="615"/>
      <c r="C90" s="615"/>
      <c r="D90" s="615"/>
      <c r="E90" s="615"/>
      <c r="F90" s="615"/>
      <c r="G90" s="615"/>
      <c r="H90" s="615"/>
      <c r="I90" s="615"/>
      <c r="J90" s="615"/>
      <c r="K90" s="615"/>
      <c r="L90" s="615"/>
      <c r="M90" s="615"/>
      <c r="N90" s="615"/>
    </row>
    <row r="91" spans="1:14" x14ac:dyDescent="0.3">
      <c r="A91" s="615"/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</row>
    <row r="92" spans="1:14" x14ac:dyDescent="0.3">
      <c r="A92" s="615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</row>
    <row r="93" spans="1:14" x14ac:dyDescent="0.3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</row>
    <row r="94" spans="1:14" x14ac:dyDescent="0.3">
      <c r="A94" s="615"/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</row>
    <row r="95" spans="1:14" x14ac:dyDescent="0.3">
      <c r="A95" s="615"/>
      <c r="B95" s="615"/>
      <c r="C95" s="615"/>
      <c r="D95" s="615"/>
      <c r="E95" s="615"/>
      <c r="F95" s="615"/>
      <c r="G95" s="615"/>
      <c r="H95" s="615"/>
      <c r="I95" s="615"/>
      <c r="J95" s="615"/>
      <c r="K95" s="615"/>
      <c r="L95" s="615"/>
      <c r="M95" s="615"/>
      <c r="N95" s="615"/>
    </row>
    <row r="96" spans="1:14" x14ac:dyDescent="0.3">
      <c r="A96" s="615"/>
      <c r="B96" s="615"/>
      <c r="C96" s="615"/>
      <c r="D96" s="615"/>
      <c r="E96" s="615"/>
      <c r="F96" s="615"/>
      <c r="G96" s="615"/>
      <c r="H96" s="615"/>
      <c r="I96" s="615"/>
      <c r="J96" s="615"/>
      <c r="K96" s="615"/>
      <c r="L96" s="615"/>
      <c r="M96" s="615"/>
      <c r="N96" s="615"/>
    </row>
    <row r="97" spans="1:14" x14ac:dyDescent="0.3">
      <c r="A97" s="615"/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</row>
    <row r="98" spans="1:14" x14ac:dyDescent="0.3">
      <c r="A98" s="615"/>
      <c r="B98" s="615"/>
      <c r="C98" s="615"/>
      <c r="D98" s="615"/>
      <c r="E98" s="615"/>
      <c r="F98" s="615"/>
      <c r="G98" s="615"/>
      <c r="H98" s="615"/>
      <c r="I98" s="615"/>
      <c r="J98" s="615"/>
      <c r="K98" s="615"/>
      <c r="L98" s="615"/>
      <c r="M98" s="615"/>
      <c r="N98" s="615"/>
    </row>
    <row r="99" spans="1:14" x14ac:dyDescent="0.3">
      <c r="A99" s="615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</row>
    <row r="100" spans="1:14" x14ac:dyDescent="0.3">
      <c r="A100" s="615"/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</row>
    <row r="101" spans="1:14" x14ac:dyDescent="0.3">
      <c r="A101" s="615"/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M101" s="615"/>
      <c r="N101" s="615"/>
    </row>
    <row r="102" spans="1:14" x14ac:dyDescent="0.3">
      <c r="A102" s="615"/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</row>
    <row r="103" spans="1:14" x14ac:dyDescent="0.3">
      <c r="A103" s="615"/>
      <c r="B103" s="615"/>
      <c r="C103" s="615"/>
      <c r="D103" s="615"/>
      <c r="E103" s="615"/>
      <c r="F103" s="615"/>
      <c r="G103" s="615"/>
      <c r="H103" s="615"/>
      <c r="I103" s="615"/>
      <c r="J103" s="615"/>
      <c r="K103" s="615"/>
      <c r="L103" s="615"/>
      <c r="M103" s="615"/>
      <c r="N103" s="615"/>
    </row>
    <row r="104" spans="1:14" x14ac:dyDescent="0.3">
      <c r="A104" s="615" t="s">
        <v>257</v>
      </c>
      <c r="B104" s="615"/>
      <c r="C104" s="615"/>
      <c r="D104" s="615"/>
      <c r="E104" s="615"/>
      <c r="F104" s="615"/>
      <c r="G104" s="615"/>
      <c r="H104" s="615"/>
      <c r="I104" s="615"/>
      <c r="J104" s="615"/>
      <c r="K104" s="615"/>
      <c r="L104" s="615"/>
      <c r="M104" s="615"/>
      <c r="N104" s="615"/>
    </row>
    <row r="105" spans="1:14" ht="21.6" customHeight="1" x14ac:dyDescent="0.3">
      <c r="A105" s="615"/>
      <c r="B105" s="615"/>
      <c r="C105" s="615"/>
      <c r="D105" s="615"/>
      <c r="E105" s="615"/>
      <c r="F105" s="615"/>
      <c r="G105" s="615"/>
      <c r="H105" s="615"/>
      <c r="I105" s="615"/>
      <c r="J105" s="615"/>
      <c r="K105" s="615"/>
      <c r="L105" s="615"/>
      <c r="M105" s="615"/>
      <c r="N105" s="615"/>
    </row>
    <row r="106" spans="1:14" ht="21.6" customHeight="1" x14ac:dyDescent="0.3">
      <c r="A106" s="615"/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M106" s="615"/>
      <c r="N106" s="615"/>
    </row>
    <row r="107" spans="1:14" ht="21.6" customHeight="1" x14ac:dyDescent="0.3">
      <c r="A107" s="615"/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  <c r="M107" s="615"/>
      <c r="N107" s="615"/>
    </row>
    <row r="108" spans="1:14" ht="21.6" customHeight="1" x14ac:dyDescent="0.3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  <c r="M108" s="615"/>
      <c r="N108" s="615"/>
    </row>
    <row r="109" spans="1:14" ht="21.6" customHeight="1" x14ac:dyDescent="0.3">
      <c r="A109" s="615"/>
      <c r="B109" s="615"/>
      <c r="C109" s="615"/>
      <c r="D109" s="615"/>
      <c r="E109" s="615"/>
      <c r="F109" s="615"/>
      <c r="G109" s="615"/>
      <c r="H109" s="615"/>
      <c r="I109" s="615"/>
      <c r="J109" s="615"/>
      <c r="K109" s="615"/>
      <c r="L109" s="615"/>
      <c r="M109" s="615"/>
      <c r="N109" s="615"/>
    </row>
    <row r="110" spans="1:14" ht="21.6" customHeight="1" x14ac:dyDescent="0.3">
      <c r="A110" s="615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</row>
    <row r="111" spans="1:14" ht="21.6" customHeight="1" x14ac:dyDescent="0.3">
      <c r="A111" s="615"/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</row>
    <row r="112" spans="1:14" ht="21.6" customHeight="1" x14ac:dyDescent="0.3">
      <c r="A112" s="615"/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</row>
    <row r="113" spans="1:14" ht="21.6" customHeight="1" x14ac:dyDescent="0.3">
      <c r="A113" s="615"/>
      <c r="B113" s="615"/>
      <c r="C113" s="615"/>
      <c r="D113" s="615"/>
      <c r="E113" s="615"/>
      <c r="F113" s="615"/>
      <c r="G113" s="615"/>
      <c r="H113" s="615"/>
      <c r="I113" s="615"/>
      <c r="J113" s="615"/>
      <c r="K113" s="615"/>
      <c r="L113" s="615"/>
      <c r="M113" s="615"/>
      <c r="N113" s="615"/>
    </row>
    <row r="114" spans="1:14" ht="21.6" customHeight="1" x14ac:dyDescent="0.3">
      <c r="A114" s="615"/>
      <c r="B114" s="615"/>
      <c r="C114" s="615"/>
      <c r="D114" s="615"/>
      <c r="E114" s="615"/>
      <c r="F114" s="615"/>
      <c r="G114" s="615"/>
      <c r="H114" s="615"/>
      <c r="I114" s="615"/>
      <c r="J114" s="615"/>
      <c r="K114" s="615"/>
      <c r="L114" s="615"/>
      <c r="M114" s="615"/>
      <c r="N114" s="615"/>
    </row>
    <row r="115" spans="1:14" ht="21.6" customHeight="1" x14ac:dyDescent="0.3">
      <c r="A115" s="615"/>
      <c r="B115" s="615"/>
      <c r="C115" s="615"/>
      <c r="D115" s="615"/>
      <c r="E115" s="615"/>
      <c r="F115" s="615"/>
      <c r="G115" s="615"/>
      <c r="H115" s="615"/>
      <c r="I115" s="615"/>
      <c r="J115" s="615"/>
      <c r="K115" s="615"/>
      <c r="L115" s="615"/>
      <c r="M115" s="615"/>
      <c r="N115" s="615"/>
    </row>
    <row r="116" spans="1:14" ht="21.6" customHeight="1" x14ac:dyDescent="0.3">
      <c r="A116" s="615"/>
      <c r="B116" s="615"/>
      <c r="C116" s="615"/>
      <c r="D116" s="615"/>
      <c r="E116" s="615"/>
      <c r="F116" s="615"/>
      <c r="G116" s="615"/>
      <c r="H116" s="615"/>
      <c r="I116" s="615"/>
      <c r="J116" s="615"/>
      <c r="K116" s="615"/>
      <c r="L116" s="615"/>
      <c r="M116" s="615"/>
      <c r="N116" s="615"/>
    </row>
    <row r="117" spans="1:14" ht="21.6" customHeight="1" x14ac:dyDescent="0.3">
      <c r="A117" s="615"/>
      <c r="B117" s="615"/>
      <c r="C117" s="615"/>
      <c r="D117" s="615"/>
      <c r="E117" s="615"/>
      <c r="F117" s="615"/>
      <c r="G117" s="615"/>
      <c r="H117" s="615"/>
      <c r="I117" s="615"/>
      <c r="J117" s="615"/>
      <c r="K117" s="615"/>
      <c r="L117" s="615"/>
      <c r="M117" s="615"/>
      <c r="N117" s="615"/>
    </row>
    <row r="118" spans="1:14" ht="21.6" customHeight="1" x14ac:dyDescent="0.3">
      <c r="A118" s="615"/>
      <c r="B118" s="615"/>
      <c r="C118" s="615"/>
      <c r="D118" s="615"/>
      <c r="E118" s="615"/>
      <c r="F118" s="615"/>
      <c r="G118" s="615"/>
      <c r="H118" s="615"/>
      <c r="I118" s="615"/>
      <c r="J118" s="615"/>
      <c r="K118" s="615"/>
      <c r="L118" s="615"/>
      <c r="M118" s="615"/>
      <c r="N118" s="615"/>
    </row>
    <row r="119" spans="1:14" ht="21.6" customHeight="1" x14ac:dyDescent="0.3">
      <c r="A119" s="615"/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</row>
    <row r="120" spans="1:14" ht="21.6" customHeight="1" x14ac:dyDescent="0.3">
      <c r="A120" s="615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</row>
    <row r="121" spans="1:14" ht="21.6" customHeight="1" x14ac:dyDescent="0.3">
      <c r="A121" s="615"/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</row>
  </sheetData>
  <mergeCells count="13">
    <mergeCell ref="A1:N1"/>
    <mergeCell ref="A2:N2"/>
    <mergeCell ref="A25:N67"/>
    <mergeCell ref="A3:N12"/>
    <mergeCell ref="A24:N24"/>
    <mergeCell ref="A13:N13"/>
    <mergeCell ref="A14:N23"/>
    <mergeCell ref="A104:N104"/>
    <mergeCell ref="A105:N121"/>
    <mergeCell ref="A68:N68"/>
    <mergeCell ref="A69:N85"/>
    <mergeCell ref="A86:N86"/>
    <mergeCell ref="A87:N10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8"/>
  <sheetViews>
    <sheetView zoomScale="85" zoomScaleNormal="85" workbookViewId="0">
      <selection activeCell="A43" sqref="A43"/>
    </sheetView>
  </sheetViews>
  <sheetFormatPr baseColWidth="10" defaultRowHeight="14.4" x14ac:dyDescent="0.3"/>
  <cols>
    <col min="1" max="1" width="55" bestFit="1" customWidth="1"/>
    <col min="2" max="6" width="11.77734375" style="85" customWidth="1"/>
    <col min="7" max="7" width="11.77734375" style="90" customWidth="1"/>
    <col min="8" max="13" width="11.77734375" style="85" customWidth="1"/>
    <col min="14" max="14" width="11.77734375" style="91" customWidth="1"/>
    <col min="15" max="19" width="11.77734375" style="86" customWidth="1"/>
    <col min="20" max="20" width="9.6640625" style="86" customWidth="1"/>
    <col min="21" max="21" width="9.6640625" style="91" customWidth="1"/>
    <col min="22" max="22" width="9.6640625" style="86" customWidth="1"/>
    <col min="23" max="24" width="9.6640625" style="85" customWidth="1"/>
    <col min="25" max="31" width="9.6640625" style="86" customWidth="1"/>
    <col min="32" max="32" width="13" bestFit="1" customWidth="1"/>
    <col min="33" max="33" width="15.77734375" bestFit="1" customWidth="1"/>
    <col min="34" max="34" width="12.6640625" bestFit="1" customWidth="1"/>
    <col min="35" max="35" width="15.6640625" bestFit="1" customWidth="1"/>
    <col min="36" max="36" width="12.6640625" bestFit="1" customWidth="1"/>
    <col min="37" max="37" width="15.6640625" bestFit="1" customWidth="1"/>
    <col min="38" max="38" width="12.6640625" bestFit="1" customWidth="1"/>
    <col min="39" max="39" width="15.6640625" bestFit="1" customWidth="1"/>
    <col min="40" max="40" width="12.6640625" bestFit="1" customWidth="1"/>
    <col min="41" max="41" width="15.6640625" bestFit="1" customWidth="1"/>
    <col min="42" max="42" width="12.6640625" bestFit="1" customWidth="1"/>
    <col min="43" max="43" width="15.6640625" bestFit="1" customWidth="1"/>
    <col min="44" max="44" width="12.6640625" bestFit="1" customWidth="1"/>
    <col min="45" max="45" width="15.6640625" bestFit="1" customWidth="1"/>
    <col min="46" max="46" width="12.6640625" bestFit="1" customWidth="1"/>
    <col min="47" max="47" width="15.6640625" bestFit="1" customWidth="1"/>
    <col min="48" max="48" width="12.6640625" bestFit="1" customWidth="1"/>
    <col min="49" max="49" width="15.6640625" bestFit="1" customWidth="1"/>
    <col min="50" max="50" width="12.6640625" bestFit="1" customWidth="1"/>
    <col min="51" max="51" width="15.6640625" bestFit="1" customWidth="1"/>
    <col min="52" max="52" width="12.6640625" bestFit="1" customWidth="1"/>
    <col min="53" max="53" width="15.6640625" bestFit="1" customWidth="1"/>
    <col min="54" max="54" width="12.6640625" bestFit="1" customWidth="1"/>
    <col min="55" max="55" width="15.6640625" bestFit="1" customWidth="1"/>
    <col min="56" max="56" width="12.6640625" bestFit="1" customWidth="1"/>
    <col min="57" max="57" width="15.6640625" bestFit="1" customWidth="1"/>
    <col min="58" max="58" width="12.6640625" bestFit="1" customWidth="1"/>
    <col min="59" max="59" width="15.6640625" bestFit="1" customWidth="1"/>
    <col min="60" max="60" width="12.6640625" bestFit="1" customWidth="1"/>
    <col min="61" max="61" width="15.6640625" bestFit="1" customWidth="1"/>
    <col min="62" max="62" width="11.6640625" bestFit="1" customWidth="1"/>
    <col min="63" max="63" width="14.6640625" bestFit="1" customWidth="1"/>
    <col min="64" max="65" width="12.6640625" bestFit="1" customWidth="1"/>
    <col min="66" max="165" width="22.33203125" bestFit="1" customWidth="1"/>
    <col min="166" max="166" width="31.88671875" bestFit="1" customWidth="1"/>
    <col min="167" max="167" width="38.6640625" bestFit="1" customWidth="1"/>
    <col min="168" max="168" width="39.21875" bestFit="1" customWidth="1"/>
    <col min="169" max="169" width="34.6640625" bestFit="1" customWidth="1"/>
    <col min="170" max="170" width="35.21875" bestFit="1" customWidth="1"/>
    <col min="171" max="172" width="24.77734375" bestFit="1" customWidth="1"/>
    <col min="173" max="173" width="15.33203125" bestFit="1" customWidth="1"/>
    <col min="174" max="174" width="22.21875" bestFit="1" customWidth="1"/>
    <col min="175" max="175" width="23.33203125" bestFit="1" customWidth="1"/>
    <col min="176" max="176" width="23.6640625" bestFit="1" customWidth="1"/>
    <col min="177" max="177" width="24.21875" bestFit="1" customWidth="1"/>
    <col min="178" max="179" width="24.77734375" bestFit="1" customWidth="1"/>
    <col min="180" max="180" width="17.6640625" bestFit="1" customWidth="1"/>
    <col min="181" max="181" width="24.21875" bestFit="1" customWidth="1"/>
    <col min="182" max="182" width="25" bestFit="1" customWidth="1"/>
    <col min="183" max="183" width="25.109375" bestFit="1" customWidth="1"/>
    <col min="184" max="184" width="25.33203125" bestFit="1" customWidth="1"/>
    <col min="185" max="185" width="43.109375" bestFit="1" customWidth="1"/>
    <col min="186" max="186" width="42.33203125" bestFit="1" customWidth="1"/>
  </cols>
  <sheetData>
    <row r="1" spans="1:184" s="38" customFormat="1" ht="15.75" customHeight="1" thickBot="1" x14ac:dyDescent="0.35">
      <c r="A1" s="628" t="s">
        <v>5</v>
      </c>
      <c r="B1" s="629"/>
      <c r="C1" s="629"/>
      <c r="D1" s="629"/>
      <c r="E1" s="629"/>
      <c r="F1" s="630"/>
      <c r="G1" s="90"/>
      <c r="H1" s="90"/>
      <c r="I1" s="90"/>
      <c r="J1" s="90"/>
      <c r="K1" s="90"/>
      <c r="L1" s="90"/>
      <c r="M1" s="90"/>
      <c r="N1" s="91"/>
      <c r="O1" s="91"/>
      <c r="P1" s="91"/>
      <c r="Q1" s="91"/>
      <c r="R1" s="91"/>
      <c r="S1" s="91"/>
      <c r="T1" s="91"/>
      <c r="U1" s="91"/>
      <c r="V1" s="91"/>
      <c r="W1" s="90"/>
      <c r="X1" s="90"/>
      <c r="Y1" s="91"/>
      <c r="Z1" s="91"/>
      <c r="AA1" s="91"/>
      <c r="AB1" s="91"/>
      <c r="AC1" s="91"/>
      <c r="AD1" s="91"/>
      <c r="AE1" s="91"/>
    </row>
    <row r="2" spans="1:184" s="88" customFormat="1" ht="15" thickBot="1" x14ac:dyDescent="0.35">
      <c r="A2" s="485"/>
      <c r="B2" s="485" t="s">
        <v>80</v>
      </c>
      <c r="C2" s="486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8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496" t="s">
        <v>7</v>
      </c>
      <c r="B3" s="489">
        <v>1</v>
      </c>
      <c r="C3" s="490">
        <v>2</v>
      </c>
      <c r="D3" s="490">
        <v>3</v>
      </c>
      <c r="E3" s="490">
        <v>4</v>
      </c>
      <c r="F3" s="490">
        <v>5</v>
      </c>
      <c r="G3" s="490">
        <v>6</v>
      </c>
      <c r="H3" s="490">
        <v>7</v>
      </c>
      <c r="I3" s="490">
        <v>8</v>
      </c>
      <c r="J3" s="490">
        <v>9</v>
      </c>
      <c r="K3" s="490">
        <v>10</v>
      </c>
      <c r="L3" s="490">
        <v>11</v>
      </c>
      <c r="M3" s="490">
        <v>12</v>
      </c>
      <c r="N3" s="490">
        <v>13</v>
      </c>
      <c r="O3" s="490">
        <v>14</v>
      </c>
      <c r="P3" s="490">
        <v>15</v>
      </c>
      <c r="Q3" s="490">
        <v>16</v>
      </c>
      <c r="R3" s="490">
        <v>17</v>
      </c>
      <c r="S3" s="490">
        <v>18</v>
      </c>
      <c r="T3" s="490">
        <v>19</v>
      </c>
      <c r="U3" s="490">
        <v>20</v>
      </c>
      <c r="V3" s="490">
        <v>21</v>
      </c>
      <c r="W3" s="490">
        <v>22</v>
      </c>
      <c r="X3" s="490">
        <v>23</v>
      </c>
      <c r="Y3" s="490">
        <v>24</v>
      </c>
      <c r="Z3" s="490">
        <v>25</v>
      </c>
      <c r="AA3" s="490">
        <v>26</v>
      </c>
      <c r="AB3" s="490">
        <v>27</v>
      </c>
      <c r="AC3" s="491">
        <v>28</v>
      </c>
      <c r="AD3" s="492" t="s">
        <v>72</v>
      </c>
      <c r="AE3"/>
    </row>
    <row r="4" spans="1:184" x14ac:dyDescent="0.3">
      <c r="A4" s="493" t="s">
        <v>82</v>
      </c>
      <c r="B4" s="578">
        <v>0</v>
      </c>
      <c r="C4" s="579">
        <v>440</v>
      </c>
      <c r="D4" s="579">
        <v>550</v>
      </c>
      <c r="E4" s="579">
        <v>870</v>
      </c>
      <c r="F4" s="579">
        <v>300</v>
      </c>
      <c r="G4" s="579">
        <v>200</v>
      </c>
      <c r="H4" s="579">
        <v>250</v>
      </c>
      <c r="I4" s="579">
        <v>0</v>
      </c>
      <c r="J4" s="579">
        <v>150</v>
      </c>
      <c r="K4" s="579">
        <v>270</v>
      </c>
      <c r="L4" s="579">
        <v>300</v>
      </c>
      <c r="M4" s="579">
        <v>330</v>
      </c>
      <c r="N4" s="579">
        <v>310</v>
      </c>
      <c r="O4" s="579">
        <v>90</v>
      </c>
      <c r="P4" s="579">
        <v>0</v>
      </c>
      <c r="Q4" s="579">
        <v>400</v>
      </c>
      <c r="R4" s="579">
        <v>250</v>
      </c>
      <c r="S4" s="579">
        <v>280</v>
      </c>
      <c r="T4" s="579">
        <v>320</v>
      </c>
      <c r="U4" s="579">
        <v>250</v>
      </c>
      <c r="V4" s="579">
        <v>280</v>
      </c>
      <c r="W4" s="579">
        <v>0</v>
      </c>
      <c r="X4" s="579">
        <v>520</v>
      </c>
      <c r="Y4" s="579">
        <v>130</v>
      </c>
      <c r="Z4" s="579">
        <v>180</v>
      </c>
      <c r="AA4" s="579">
        <v>780</v>
      </c>
      <c r="AB4" s="579">
        <v>430</v>
      </c>
      <c r="AC4" s="579">
        <v>330</v>
      </c>
      <c r="AD4" s="580">
        <v>8210</v>
      </c>
      <c r="AE4"/>
    </row>
    <row r="5" spans="1:184" x14ac:dyDescent="0.3">
      <c r="A5" s="494" t="s">
        <v>83</v>
      </c>
      <c r="B5" s="581">
        <v>0</v>
      </c>
      <c r="C5" s="70">
        <v>820</v>
      </c>
      <c r="D5" s="70">
        <v>760</v>
      </c>
      <c r="E5" s="70">
        <v>780</v>
      </c>
      <c r="F5" s="70">
        <v>530</v>
      </c>
      <c r="G5" s="70">
        <v>790</v>
      </c>
      <c r="H5" s="70">
        <v>500</v>
      </c>
      <c r="I5" s="70">
        <v>0</v>
      </c>
      <c r="J5" s="70">
        <v>700</v>
      </c>
      <c r="K5" s="70">
        <v>330</v>
      </c>
      <c r="L5" s="70">
        <v>320</v>
      </c>
      <c r="M5" s="70">
        <v>400</v>
      </c>
      <c r="N5" s="70">
        <v>500</v>
      </c>
      <c r="O5" s="70">
        <v>490</v>
      </c>
      <c r="P5" s="70">
        <v>0</v>
      </c>
      <c r="Q5" s="70">
        <v>860</v>
      </c>
      <c r="R5" s="70">
        <v>300</v>
      </c>
      <c r="S5" s="70">
        <v>0</v>
      </c>
      <c r="T5" s="70">
        <v>370</v>
      </c>
      <c r="U5" s="70">
        <v>380</v>
      </c>
      <c r="V5" s="70">
        <v>500</v>
      </c>
      <c r="W5" s="70">
        <v>160</v>
      </c>
      <c r="X5" s="70">
        <v>390</v>
      </c>
      <c r="Y5" s="70">
        <v>700</v>
      </c>
      <c r="Z5" s="70">
        <v>780</v>
      </c>
      <c r="AA5" s="70">
        <v>520</v>
      </c>
      <c r="AB5" s="70">
        <v>600</v>
      </c>
      <c r="AC5" s="70">
        <v>500</v>
      </c>
      <c r="AD5" s="582">
        <v>12980</v>
      </c>
      <c r="AE5"/>
    </row>
    <row r="6" spans="1:184" x14ac:dyDescent="0.3">
      <c r="A6" s="494" t="s">
        <v>84</v>
      </c>
      <c r="B6" s="581">
        <v>0</v>
      </c>
      <c r="C6" s="70">
        <v>170</v>
      </c>
      <c r="D6" s="70">
        <v>290</v>
      </c>
      <c r="E6" s="70">
        <v>250</v>
      </c>
      <c r="F6" s="70">
        <v>200</v>
      </c>
      <c r="G6" s="70">
        <v>210</v>
      </c>
      <c r="H6" s="70">
        <v>60</v>
      </c>
      <c r="I6" s="70">
        <v>0</v>
      </c>
      <c r="J6" s="70">
        <v>140</v>
      </c>
      <c r="K6" s="70">
        <v>80</v>
      </c>
      <c r="L6" s="70">
        <v>110</v>
      </c>
      <c r="M6" s="70">
        <v>50</v>
      </c>
      <c r="N6" s="70">
        <v>150</v>
      </c>
      <c r="O6" s="70">
        <v>20</v>
      </c>
      <c r="P6" s="70">
        <v>0</v>
      </c>
      <c r="Q6" s="70">
        <v>180</v>
      </c>
      <c r="R6" s="70">
        <v>110</v>
      </c>
      <c r="S6" s="70">
        <v>200</v>
      </c>
      <c r="T6" s="70">
        <v>140</v>
      </c>
      <c r="U6" s="70">
        <v>110</v>
      </c>
      <c r="V6" s="70">
        <v>130</v>
      </c>
      <c r="W6" s="70">
        <v>0</v>
      </c>
      <c r="X6" s="70">
        <v>110</v>
      </c>
      <c r="Y6" s="70">
        <v>200</v>
      </c>
      <c r="Z6" s="70">
        <v>100</v>
      </c>
      <c r="AA6" s="70">
        <v>200</v>
      </c>
      <c r="AB6" s="70">
        <v>210</v>
      </c>
      <c r="AC6" s="70">
        <v>190</v>
      </c>
      <c r="AD6" s="582">
        <v>3610</v>
      </c>
      <c r="AE6"/>
    </row>
    <row r="7" spans="1:184" x14ac:dyDescent="0.3">
      <c r="A7" s="494" t="s">
        <v>85</v>
      </c>
      <c r="B7" s="581">
        <v>0</v>
      </c>
      <c r="C7" s="70">
        <v>2.5</v>
      </c>
      <c r="D7" s="70">
        <v>7.5</v>
      </c>
      <c r="E7" s="70">
        <v>0</v>
      </c>
      <c r="F7" s="70">
        <v>10</v>
      </c>
      <c r="G7" s="70">
        <v>5</v>
      </c>
      <c r="H7" s="70">
        <v>10</v>
      </c>
      <c r="I7" s="70">
        <v>5</v>
      </c>
      <c r="J7" s="70">
        <v>10</v>
      </c>
      <c r="K7" s="70">
        <v>5</v>
      </c>
      <c r="L7" s="70">
        <v>10</v>
      </c>
      <c r="M7" s="70">
        <v>10</v>
      </c>
      <c r="N7" s="70">
        <v>5</v>
      </c>
      <c r="O7" s="70">
        <v>10</v>
      </c>
      <c r="P7" s="70">
        <v>0</v>
      </c>
      <c r="Q7" s="70">
        <v>5</v>
      </c>
      <c r="R7" s="70">
        <v>5</v>
      </c>
      <c r="S7" s="70">
        <v>5</v>
      </c>
      <c r="T7" s="70">
        <v>5</v>
      </c>
      <c r="U7" s="70">
        <v>5</v>
      </c>
      <c r="V7" s="70">
        <v>5</v>
      </c>
      <c r="W7" s="70">
        <v>0</v>
      </c>
      <c r="X7" s="70">
        <v>10</v>
      </c>
      <c r="Y7" s="70">
        <v>5</v>
      </c>
      <c r="Z7" s="70">
        <v>10</v>
      </c>
      <c r="AA7" s="70">
        <v>5</v>
      </c>
      <c r="AB7" s="70">
        <v>10</v>
      </c>
      <c r="AC7" s="70">
        <v>5</v>
      </c>
      <c r="AD7" s="582">
        <v>165</v>
      </c>
      <c r="AE7"/>
    </row>
    <row r="8" spans="1:184" ht="15" thickBot="1" x14ac:dyDescent="0.35">
      <c r="A8" s="495" t="s">
        <v>86</v>
      </c>
      <c r="B8" s="581">
        <v>0</v>
      </c>
      <c r="C8" s="70">
        <v>15</v>
      </c>
      <c r="D8" s="70">
        <v>10</v>
      </c>
      <c r="E8" s="70">
        <v>0</v>
      </c>
      <c r="F8" s="70">
        <v>10</v>
      </c>
      <c r="G8" s="70">
        <v>20</v>
      </c>
      <c r="H8" s="70">
        <v>10</v>
      </c>
      <c r="I8" s="70">
        <v>0</v>
      </c>
      <c r="J8" s="70">
        <v>15</v>
      </c>
      <c r="K8" s="70">
        <v>15</v>
      </c>
      <c r="L8" s="70">
        <v>15</v>
      </c>
      <c r="M8" s="70">
        <v>15</v>
      </c>
      <c r="N8" s="70">
        <v>15</v>
      </c>
      <c r="O8" s="70">
        <v>10</v>
      </c>
      <c r="P8" s="70">
        <v>0</v>
      </c>
      <c r="Q8" s="70">
        <v>15</v>
      </c>
      <c r="R8" s="70">
        <v>15</v>
      </c>
      <c r="S8" s="70">
        <v>15</v>
      </c>
      <c r="T8" s="70">
        <v>15</v>
      </c>
      <c r="U8" s="70">
        <v>15</v>
      </c>
      <c r="V8" s="70">
        <v>15</v>
      </c>
      <c r="W8" s="70">
        <v>0</v>
      </c>
      <c r="X8" s="70">
        <v>15</v>
      </c>
      <c r="Y8" s="70">
        <v>15</v>
      </c>
      <c r="Z8" s="70">
        <v>15</v>
      </c>
      <c r="AA8" s="70">
        <v>15</v>
      </c>
      <c r="AB8" s="70">
        <v>15</v>
      </c>
      <c r="AC8" s="70">
        <v>10</v>
      </c>
      <c r="AD8" s="582">
        <v>325</v>
      </c>
      <c r="AE8"/>
    </row>
    <row r="9" spans="1:184" x14ac:dyDescent="0.3">
      <c r="A9" s="227" t="s">
        <v>229</v>
      </c>
      <c r="B9" s="581">
        <v>0</v>
      </c>
      <c r="C9" s="70">
        <v>1125</v>
      </c>
      <c r="D9" s="70">
        <v>1650</v>
      </c>
      <c r="E9" s="70">
        <v>1575</v>
      </c>
      <c r="F9" s="70">
        <v>1500</v>
      </c>
      <c r="G9" s="70">
        <v>1350</v>
      </c>
      <c r="H9" s="70">
        <v>900</v>
      </c>
      <c r="I9" s="70">
        <v>0</v>
      </c>
      <c r="J9" s="70">
        <v>1350</v>
      </c>
      <c r="K9" s="70">
        <v>1425</v>
      </c>
      <c r="L9" s="70">
        <v>1275</v>
      </c>
      <c r="M9" s="70">
        <v>1200</v>
      </c>
      <c r="N9" s="70">
        <v>1125</v>
      </c>
      <c r="O9" s="70">
        <v>1125</v>
      </c>
      <c r="P9" s="70">
        <v>0</v>
      </c>
      <c r="Q9" s="70">
        <v>1440</v>
      </c>
      <c r="R9" s="70">
        <v>1200</v>
      </c>
      <c r="S9" s="70">
        <v>960</v>
      </c>
      <c r="T9" s="70">
        <v>1200</v>
      </c>
      <c r="U9" s="70">
        <v>1360</v>
      </c>
      <c r="V9" s="70">
        <v>880</v>
      </c>
      <c r="W9" s="70">
        <v>0</v>
      </c>
      <c r="X9" s="70">
        <v>720</v>
      </c>
      <c r="Y9" s="70">
        <v>1120</v>
      </c>
      <c r="Z9" s="70">
        <v>1440</v>
      </c>
      <c r="AA9" s="70">
        <v>1760</v>
      </c>
      <c r="AB9" s="70">
        <v>1440</v>
      </c>
      <c r="AC9" s="70">
        <v>960</v>
      </c>
      <c r="AD9" s="582">
        <v>30080</v>
      </c>
      <c r="AE9"/>
    </row>
    <row r="10" spans="1:184" ht="15" thickBot="1" x14ac:dyDescent="0.35">
      <c r="A10" s="552" t="s">
        <v>230</v>
      </c>
      <c r="B10" s="356">
        <v>0</v>
      </c>
      <c r="C10" s="357">
        <v>4748.1533333333336</v>
      </c>
      <c r="D10" s="357">
        <v>3732.7651515151515</v>
      </c>
      <c r="E10" s="357">
        <v>3747.9793650793649</v>
      </c>
      <c r="F10" s="357">
        <v>2896.65</v>
      </c>
      <c r="G10" s="357">
        <v>4029.6759259259261</v>
      </c>
      <c r="H10" s="357">
        <v>3415.6944444444443</v>
      </c>
      <c r="I10" s="357">
        <v>0</v>
      </c>
      <c r="J10" s="357">
        <v>3314.4259259259261</v>
      </c>
      <c r="K10" s="357">
        <v>1834.9859649122807</v>
      </c>
      <c r="L10" s="357">
        <v>2305.9705882352941</v>
      </c>
      <c r="M10" s="357">
        <v>2339.7979166666669</v>
      </c>
      <c r="N10" s="357">
        <v>3432.9355555555558</v>
      </c>
      <c r="O10" s="357">
        <v>2265.1644444444446</v>
      </c>
      <c r="P10" s="357">
        <v>0</v>
      </c>
      <c r="Q10" s="357">
        <v>3873.9756944444443</v>
      </c>
      <c r="R10" s="357">
        <v>2261.71875</v>
      </c>
      <c r="S10" s="357">
        <v>2397.78125</v>
      </c>
      <c r="T10" s="357">
        <v>2745.5250000000001</v>
      </c>
      <c r="U10" s="357">
        <v>2221.6636029411766</v>
      </c>
      <c r="V10" s="357">
        <v>4173.076704545455</v>
      </c>
      <c r="W10" s="357">
        <v>0</v>
      </c>
      <c r="X10" s="357">
        <v>4786.760416666667</v>
      </c>
      <c r="Y10" s="357">
        <v>4312.2946428571431</v>
      </c>
      <c r="Z10" s="357">
        <v>3124.6493055555557</v>
      </c>
      <c r="AA10" s="357">
        <v>2749.6988636363635</v>
      </c>
      <c r="AB10" s="357">
        <v>3432.7482638888887</v>
      </c>
      <c r="AC10" s="357">
        <v>4258.471354166667</v>
      </c>
      <c r="AD10" s="358">
        <v>3239.6917386968084</v>
      </c>
      <c r="AE10"/>
    </row>
    <row r="11" spans="1:184" ht="15" thickBot="1" x14ac:dyDescent="0.35">
      <c r="A11" s="227"/>
      <c r="B11" s="359"/>
      <c r="C11" s="359"/>
      <c r="D11" s="359"/>
      <c r="E11" s="359"/>
      <c r="F11" s="359"/>
      <c r="G11" s="359"/>
      <c r="H11" s="359"/>
      <c r="I11" s="359"/>
      <c r="J11" s="359"/>
      <c r="K11" s="359"/>
      <c r="L11" s="359"/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</row>
    <row r="12" spans="1:184" ht="15" thickBot="1" x14ac:dyDescent="0.35">
      <c r="A12" s="631" t="s">
        <v>4</v>
      </c>
      <c r="B12" s="632"/>
      <c r="C12" s="632"/>
      <c r="D12" s="632"/>
      <c r="E12" s="632"/>
      <c r="F12" s="633"/>
      <c r="H12" s="86"/>
      <c r="I12" s="86"/>
      <c r="J12" s="86"/>
      <c r="K12" s="86"/>
      <c r="L12" s="86"/>
      <c r="M12" s="86"/>
      <c r="N12" s="86"/>
      <c r="W12" s="86"/>
      <c r="X12" s="86"/>
    </row>
    <row r="13" spans="1:184" ht="15" thickBot="1" x14ac:dyDescent="0.35">
      <c r="A13" s="517"/>
      <c r="B13" s="479" t="s">
        <v>80</v>
      </c>
      <c r="C13" s="480"/>
      <c r="D13" s="481"/>
      <c r="E13" s="481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2"/>
      <c r="AE13"/>
    </row>
    <row r="14" spans="1:184" ht="15" thickBot="1" x14ac:dyDescent="0.35">
      <c r="A14" s="497" t="s">
        <v>81</v>
      </c>
      <c r="B14" s="472">
        <v>1</v>
      </c>
      <c r="C14" s="473">
        <v>2</v>
      </c>
      <c r="D14" s="473">
        <v>3</v>
      </c>
      <c r="E14" s="473">
        <v>4</v>
      </c>
      <c r="F14" s="473">
        <v>5</v>
      </c>
      <c r="G14" s="473">
        <v>6</v>
      </c>
      <c r="H14" s="473">
        <v>7</v>
      </c>
      <c r="I14" s="473">
        <v>8</v>
      </c>
      <c r="J14" s="473">
        <v>9</v>
      </c>
      <c r="K14" s="473">
        <v>10</v>
      </c>
      <c r="L14" s="473">
        <v>11</v>
      </c>
      <c r="M14" s="473">
        <v>12</v>
      </c>
      <c r="N14" s="473">
        <v>13</v>
      </c>
      <c r="O14" s="473">
        <v>14</v>
      </c>
      <c r="P14" s="473">
        <v>15</v>
      </c>
      <c r="Q14" s="473">
        <v>16</v>
      </c>
      <c r="R14" s="473">
        <v>17</v>
      </c>
      <c r="S14" s="473">
        <v>18</v>
      </c>
      <c r="T14" s="473">
        <v>19</v>
      </c>
      <c r="U14" s="473">
        <v>20</v>
      </c>
      <c r="V14" s="473">
        <v>21</v>
      </c>
      <c r="W14" s="473">
        <v>22</v>
      </c>
      <c r="X14" s="473">
        <v>23</v>
      </c>
      <c r="Y14" s="473">
        <v>24</v>
      </c>
      <c r="Z14" s="473">
        <v>25</v>
      </c>
      <c r="AA14" s="473">
        <v>26</v>
      </c>
      <c r="AB14" s="473">
        <v>27</v>
      </c>
      <c r="AC14" s="483">
        <v>28</v>
      </c>
      <c r="AD14" s="484" t="s">
        <v>72</v>
      </c>
      <c r="AE14"/>
    </row>
    <row r="15" spans="1:184" x14ac:dyDescent="0.3">
      <c r="A15" s="476" t="s">
        <v>87</v>
      </c>
      <c r="B15" s="463">
        <v>0</v>
      </c>
      <c r="C15" s="464">
        <v>572</v>
      </c>
      <c r="D15" s="464">
        <v>715</v>
      </c>
      <c r="E15" s="464">
        <v>1131</v>
      </c>
      <c r="F15" s="464">
        <v>390</v>
      </c>
      <c r="G15" s="464">
        <v>260</v>
      </c>
      <c r="H15" s="464">
        <v>325</v>
      </c>
      <c r="I15" s="464">
        <v>0</v>
      </c>
      <c r="J15" s="464">
        <v>195</v>
      </c>
      <c r="K15" s="464">
        <v>351</v>
      </c>
      <c r="L15" s="464">
        <v>390</v>
      </c>
      <c r="M15" s="464">
        <v>429</v>
      </c>
      <c r="N15" s="464">
        <v>403</v>
      </c>
      <c r="O15" s="464">
        <v>117</v>
      </c>
      <c r="P15" s="464">
        <v>0</v>
      </c>
      <c r="Q15" s="464">
        <v>520</v>
      </c>
      <c r="R15" s="464">
        <v>325</v>
      </c>
      <c r="S15" s="464">
        <v>364</v>
      </c>
      <c r="T15" s="464">
        <v>416</v>
      </c>
      <c r="U15" s="464">
        <v>325</v>
      </c>
      <c r="V15" s="464">
        <v>364</v>
      </c>
      <c r="W15" s="464">
        <v>0</v>
      </c>
      <c r="X15" s="464">
        <v>676</v>
      </c>
      <c r="Y15" s="464">
        <v>169</v>
      </c>
      <c r="Z15" s="464">
        <v>234</v>
      </c>
      <c r="AA15" s="464">
        <v>1014</v>
      </c>
      <c r="AB15" s="464">
        <v>559</v>
      </c>
      <c r="AC15" s="464">
        <v>429</v>
      </c>
      <c r="AD15" s="465">
        <v>10673</v>
      </c>
      <c r="AE15"/>
    </row>
    <row r="16" spans="1:184" x14ac:dyDescent="0.3">
      <c r="A16" s="477" t="s">
        <v>88</v>
      </c>
      <c r="B16" s="474">
        <v>0</v>
      </c>
      <c r="C16" s="85">
        <v>1086.5</v>
      </c>
      <c r="D16" s="85">
        <v>1007</v>
      </c>
      <c r="E16" s="85">
        <v>1033.5</v>
      </c>
      <c r="F16" s="85">
        <v>702.25</v>
      </c>
      <c r="G16" s="85">
        <v>1046.75</v>
      </c>
      <c r="H16" s="85">
        <v>662.5</v>
      </c>
      <c r="I16" s="85">
        <v>0</v>
      </c>
      <c r="J16" s="85">
        <v>927.5</v>
      </c>
      <c r="K16" s="85">
        <v>437.25</v>
      </c>
      <c r="L16" s="85">
        <v>424</v>
      </c>
      <c r="M16" s="85">
        <v>530</v>
      </c>
      <c r="N16" s="85">
        <v>662.5</v>
      </c>
      <c r="O16" s="85">
        <v>649.25</v>
      </c>
      <c r="P16" s="85">
        <v>0</v>
      </c>
      <c r="Q16" s="85">
        <v>1139.5</v>
      </c>
      <c r="R16" s="85">
        <v>397.5</v>
      </c>
      <c r="S16" s="85">
        <v>0</v>
      </c>
      <c r="T16" s="85">
        <v>490.25</v>
      </c>
      <c r="U16" s="85">
        <v>503.5</v>
      </c>
      <c r="V16" s="85">
        <v>662.5</v>
      </c>
      <c r="W16" s="85">
        <v>212</v>
      </c>
      <c r="X16" s="85">
        <v>516.75</v>
      </c>
      <c r="Y16" s="85">
        <v>927.5</v>
      </c>
      <c r="Z16" s="85">
        <v>1033.5</v>
      </c>
      <c r="AA16" s="85">
        <v>689</v>
      </c>
      <c r="AB16" s="85">
        <v>795</v>
      </c>
      <c r="AC16" s="85">
        <v>662.5</v>
      </c>
      <c r="AD16" s="475">
        <v>17198.5</v>
      </c>
      <c r="AE16"/>
    </row>
    <row r="17" spans="1:33" x14ac:dyDescent="0.3">
      <c r="A17" s="477" t="s">
        <v>89</v>
      </c>
      <c r="B17" s="474">
        <v>0</v>
      </c>
      <c r="C17" s="85">
        <v>212.5</v>
      </c>
      <c r="D17" s="85">
        <v>362.5</v>
      </c>
      <c r="E17" s="85">
        <v>312.5</v>
      </c>
      <c r="F17" s="85">
        <v>250</v>
      </c>
      <c r="G17" s="85">
        <v>262.5</v>
      </c>
      <c r="H17" s="85">
        <v>75</v>
      </c>
      <c r="I17" s="85">
        <v>0</v>
      </c>
      <c r="J17" s="85">
        <v>175</v>
      </c>
      <c r="K17" s="85">
        <v>100</v>
      </c>
      <c r="L17" s="85">
        <v>137.5</v>
      </c>
      <c r="M17" s="85">
        <v>62.5</v>
      </c>
      <c r="N17" s="85">
        <v>187.5</v>
      </c>
      <c r="O17" s="85">
        <v>25</v>
      </c>
      <c r="P17" s="85">
        <v>0</v>
      </c>
      <c r="Q17" s="85">
        <v>225</v>
      </c>
      <c r="R17" s="85">
        <v>137.5</v>
      </c>
      <c r="S17" s="85">
        <v>250</v>
      </c>
      <c r="T17" s="85">
        <v>175</v>
      </c>
      <c r="U17" s="85">
        <v>137.5</v>
      </c>
      <c r="V17" s="85">
        <v>162.5</v>
      </c>
      <c r="W17" s="85">
        <v>0</v>
      </c>
      <c r="X17" s="85">
        <v>137.5</v>
      </c>
      <c r="Y17" s="85">
        <v>250</v>
      </c>
      <c r="Z17" s="85">
        <v>125</v>
      </c>
      <c r="AA17" s="85">
        <v>250</v>
      </c>
      <c r="AB17" s="85">
        <v>262.5</v>
      </c>
      <c r="AC17" s="85">
        <v>237.5</v>
      </c>
      <c r="AD17" s="475">
        <v>4512.5</v>
      </c>
      <c r="AE17"/>
    </row>
    <row r="18" spans="1:33" x14ac:dyDescent="0.3">
      <c r="A18" s="477" t="s">
        <v>90</v>
      </c>
      <c r="B18" s="474">
        <v>0</v>
      </c>
      <c r="C18" s="85">
        <v>2.5</v>
      </c>
      <c r="D18" s="85">
        <v>7.5</v>
      </c>
      <c r="E18" s="85">
        <v>0</v>
      </c>
      <c r="F18" s="85">
        <v>10</v>
      </c>
      <c r="G18" s="85">
        <v>5</v>
      </c>
      <c r="H18" s="85">
        <v>10</v>
      </c>
      <c r="I18" s="85">
        <v>5</v>
      </c>
      <c r="J18" s="85">
        <v>10</v>
      </c>
      <c r="K18" s="85">
        <v>5</v>
      </c>
      <c r="L18" s="85">
        <v>10</v>
      </c>
      <c r="M18" s="85">
        <v>10</v>
      </c>
      <c r="N18" s="85">
        <v>5</v>
      </c>
      <c r="O18" s="85">
        <v>10</v>
      </c>
      <c r="P18" s="85">
        <v>0</v>
      </c>
      <c r="Q18" s="85">
        <v>5</v>
      </c>
      <c r="R18" s="85">
        <v>5</v>
      </c>
      <c r="S18" s="85">
        <v>5</v>
      </c>
      <c r="T18" s="85">
        <v>5</v>
      </c>
      <c r="U18" s="85">
        <v>5</v>
      </c>
      <c r="V18" s="85">
        <v>5</v>
      </c>
      <c r="W18" s="85">
        <v>0</v>
      </c>
      <c r="X18" s="85">
        <v>10</v>
      </c>
      <c r="Y18" s="85">
        <v>5</v>
      </c>
      <c r="Z18" s="85">
        <v>10</v>
      </c>
      <c r="AA18" s="85">
        <v>5</v>
      </c>
      <c r="AB18" s="85">
        <v>10</v>
      </c>
      <c r="AC18" s="85">
        <v>5</v>
      </c>
      <c r="AD18" s="475">
        <v>165</v>
      </c>
      <c r="AE18"/>
    </row>
    <row r="19" spans="1:33" ht="15" thickBot="1" x14ac:dyDescent="0.35">
      <c r="A19" s="478" t="s">
        <v>91</v>
      </c>
      <c r="B19" s="474">
        <v>0</v>
      </c>
      <c r="C19" s="85">
        <v>15</v>
      </c>
      <c r="D19" s="85">
        <v>10</v>
      </c>
      <c r="E19" s="85">
        <v>0</v>
      </c>
      <c r="F19" s="85">
        <v>10</v>
      </c>
      <c r="G19" s="85">
        <v>20</v>
      </c>
      <c r="H19" s="85">
        <v>10</v>
      </c>
      <c r="I19" s="85">
        <v>0</v>
      </c>
      <c r="J19" s="85">
        <v>15</v>
      </c>
      <c r="K19" s="85">
        <v>15</v>
      </c>
      <c r="L19" s="85">
        <v>15</v>
      </c>
      <c r="M19" s="85">
        <v>15</v>
      </c>
      <c r="N19" s="85">
        <v>15</v>
      </c>
      <c r="O19" s="85">
        <v>10</v>
      </c>
      <c r="P19" s="85">
        <v>0</v>
      </c>
      <c r="Q19" s="85">
        <v>15</v>
      </c>
      <c r="R19" s="85">
        <v>15</v>
      </c>
      <c r="S19" s="85">
        <v>15</v>
      </c>
      <c r="T19" s="85">
        <v>15</v>
      </c>
      <c r="U19" s="85">
        <v>15</v>
      </c>
      <c r="V19" s="85">
        <v>15</v>
      </c>
      <c r="W19" s="85">
        <v>0</v>
      </c>
      <c r="X19" s="85">
        <v>15</v>
      </c>
      <c r="Y19" s="85">
        <v>15</v>
      </c>
      <c r="Z19" s="85">
        <v>15</v>
      </c>
      <c r="AA19" s="85">
        <v>15</v>
      </c>
      <c r="AB19" s="85">
        <v>15</v>
      </c>
      <c r="AC19" s="85">
        <v>10</v>
      </c>
      <c r="AD19" s="475">
        <v>325</v>
      </c>
      <c r="AE19"/>
    </row>
    <row r="20" spans="1:33" x14ac:dyDescent="0.3">
      <c r="A20" s="365" t="s">
        <v>229</v>
      </c>
      <c r="B20" s="474">
        <v>0</v>
      </c>
      <c r="C20" s="85">
        <v>1125</v>
      </c>
      <c r="D20" s="85">
        <v>1650</v>
      </c>
      <c r="E20" s="85">
        <v>1575</v>
      </c>
      <c r="F20" s="85">
        <v>1500</v>
      </c>
      <c r="G20" s="85">
        <v>1350</v>
      </c>
      <c r="H20" s="85">
        <v>900</v>
      </c>
      <c r="I20" s="85">
        <v>0</v>
      </c>
      <c r="J20" s="85">
        <v>1350</v>
      </c>
      <c r="K20" s="85">
        <v>1425</v>
      </c>
      <c r="L20" s="85">
        <v>1275</v>
      </c>
      <c r="M20" s="85">
        <v>1200</v>
      </c>
      <c r="N20" s="85">
        <v>1125</v>
      </c>
      <c r="O20" s="85">
        <v>1125</v>
      </c>
      <c r="P20" s="85">
        <v>0</v>
      </c>
      <c r="Q20" s="85">
        <v>1440</v>
      </c>
      <c r="R20" s="85">
        <v>1200</v>
      </c>
      <c r="S20" s="85">
        <v>960</v>
      </c>
      <c r="T20" s="85">
        <v>1200</v>
      </c>
      <c r="U20" s="85">
        <v>1360</v>
      </c>
      <c r="V20" s="85">
        <v>880</v>
      </c>
      <c r="W20" s="85">
        <v>0</v>
      </c>
      <c r="X20" s="85">
        <v>720</v>
      </c>
      <c r="Y20" s="85">
        <v>1120</v>
      </c>
      <c r="Z20" s="85">
        <v>1440</v>
      </c>
      <c r="AA20" s="85">
        <v>1760</v>
      </c>
      <c r="AB20" s="85">
        <v>1440</v>
      </c>
      <c r="AC20" s="85">
        <v>960</v>
      </c>
      <c r="AD20" s="475">
        <v>30080</v>
      </c>
      <c r="AE20"/>
    </row>
    <row r="21" spans="1:33" ht="15" thickBot="1" x14ac:dyDescent="0.35">
      <c r="A21" s="366" t="s">
        <v>230</v>
      </c>
      <c r="B21" s="362" t="e">
        <v>#DIV/0!</v>
      </c>
      <c r="C21" s="363">
        <v>4748.1533333333336</v>
      </c>
      <c r="D21" s="363">
        <v>3732.7651515151515</v>
      </c>
      <c r="E21" s="363">
        <v>3747.9793650793649</v>
      </c>
      <c r="F21" s="363">
        <v>2896.65</v>
      </c>
      <c r="G21" s="363">
        <v>4029.6759259259261</v>
      </c>
      <c r="H21" s="363">
        <v>3415.6944444444443</v>
      </c>
      <c r="I21" s="363" t="e">
        <v>#DIV/0!</v>
      </c>
      <c r="J21" s="363">
        <v>3314.4259259259261</v>
      </c>
      <c r="K21" s="363">
        <v>1834.9859649122807</v>
      </c>
      <c r="L21" s="363">
        <v>2305.9705882352941</v>
      </c>
      <c r="M21" s="363">
        <v>2339.7979166666669</v>
      </c>
      <c r="N21" s="363">
        <v>3432.9355555555558</v>
      </c>
      <c r="O21" s="363">
        <v>2265.1644444444446</v>
      </c>
      <c r="P21" s="363" t="e">
        <v>#DIV/0!</v>
      </c>
      <c r="Q21" s="363">
        <v>3873.9756944444443</v>
      </c>
      <c r="R21" s="363">
        <v>2261.71875</v>
      </c>
      <c r="S21" s="363">
        <v>2397.78125</v>
      </c>
      <c r="T21" s="363">
        <v>2745.5250000000001</v>
      </c>
      <c r="U21" s="363">
        <v>2221.6636029411766</v>
      </c>
      <c r="V21" s="363">
        <v>4173.076704545455</v>
      </c>
      <c r="W21" s="363" t="e">
        <v>#DIV/0!</v>
      </c>
      <c r="X21" s="363">
        <v>4786.760416666667</v>
      </c>
      <c r="Y21" s="363">
        <v>4312.2946428571431</v>
      </c>
      <c r="Z21" s="363">
        <v>3124.6493055555557</v>
      </c>
      <c r="AA21" s="363">
        <v>2749.6988636363635</v>
      </c>
      <c r="AB21" s="363">
        <v>3432.7482638888887</v>
      </c>
      <c r="AC21" s="363">
        <v>4258.471354166667</v>
      </c>
      <c r="AD21" s="364">
        <v>3239.6917386968084</v>
      </c>
      <c r="AE21"/>
    </row>
    <row r="22" spans="1:33" x14ac:dyDescent="0.3">
      <c r="A22" s="360"/>
      <c r="G22" s="85"/>
      <c r="N22" s="85"/>
      <c r="O22" s="85"/>
      <c r="P22" s="85"/>
      <c r="Q22" s="85"/>
      <c r="R22" s="85"/>
      <c r="S22" s="85"/>
      <c r="T22" s="85"/>
      <c r="U22" s="85"/>
      <c r="V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ht="15" thickBot="1" x14ac:dyDescent="0.35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U23" s="86"/>
      <c r="W23" s="86"/>
      <c r="X23" s="86"/>
    </row>
    <row r="24" spans="1:33" ht="15" thickBot="1" x14ac:dyDescent="0.35">
      <c r="A24" s="625" t="s">
        <v>16</v>
      </c>
      <c r="B24" s="626"/>
      <c r="C24" s="626"/>
      <c r="D24" s="626"/>
      <c r="E24" s="626"/>
      <c r="F24" s="627"/>
      <c r="H24" s="86"/>
      <c r="I24" s="86"/>
      <c r="J24" s="86"/>
      <c r="K24" s="86"/>
      <c r="L24" s="86"/>
      <c r="M24" s="86"/>
      <c r="W24" s="86"/>
      <c r="X24" s="86"/>
    </row>
    <row r="25" spans="1:33" ht="15" thickBot="1" x14ac:dyDescent="0.35">
      <c r="A25" s="577"/>
      <c r="B25" s="503" t="s">
        <v>80</v>
      </c>
      <c r="C25" s="504"/>
      <c r="D25" s="498"/>
      <c r="E25" s="498"/>
      <c r="F25" s="498"/>
      <c r="G25" s="498"/>
      <c r="H25" s="498"/>
      <c r="I25" s="498"/>
      <c r="J25" s="498"/>
      <c r="K25" s="498"/>
      <c r="L25" s="498"/>
      <c r="M25" s="498"/>
      <c r="N25" s="498"/>
      <c r="O25" s="498"/>
      <c r="P25" s="498"/>
      <c r="Q25" s="498"/>
      <c r="R25" s="498"/>
      <c r="S25" s="498"/>
      <c r="T25" s="498"/>
      <c r="U25" s="498"/>
      <c r="V25" s="498"/>
      <c r="W25" s="498"/>
      <c r="X25" s="498"/>
      <c r="Y25" s="498"/>
      <c r="Z25" s="498"/>
      <c r="AA25" s="498"/>
      <c r="AB25" s="498"/>
      <c r="AC25" s="499"/>
      <c r="AD25"/>
      <c r="AE25"/>
    </row>
    <row r="26" spans="1:33" ht="15" thickBot="1" x14ac:dyDescent="0.35">
      <c r="A26" s="508" t="s">
        <v>81</v>
      </c>
      <c r="B26" s="505">
        <v>1</v>
      </c>
      <c r="C26" s="506">
        <v>2</v>
      </c>
      <c r="D26" s="506">
        <v>3</v>
      </c>
      <c r="E26" s="506">
        <v>4</v>
      </c>
      <c r="F26" s="506">
        <v>5</v>
      </c>
      <c r="G26" s="506">
        <v>6</v>
      </c>
      <c r="H26" s="506">
        <v>7</v>
      </c>
      <c r="I26" s="506">
        <v>8</v>
      </c>
      <c r="J26" s="506">
        <v>9</v>
      </c>
      <c r="K26" s="506">
        <v>10</v>
      </c>
      <c r="L26" s="506">
        <v>11</v>
      </c>
      <c r="M26" s="506">
        <v>12</v>
      </c>
      <c r="N26" s="506">
        <v>13</v>
      </c>
      <c r="O26" s="506">
        <v>14</v>
      </c>
      <c r="P26" s="506">
        <v>15</v>
      </c>
      <c r="Q26" s="506">
        <v>16</v>
      </c>
      <c r="R26" s="506">
        <v>17</v>
      </c>
      <c r="S26" s="506">
        <v>18</v>
      </c>
      <c r="T26" s="506">
        <v>19</v>
      </c>
      <c r="U26" s="506">
        <v>20</v>
      </c>
      <c r="V26" s="506">
        <v>21</v>
      </c>
      <c r="W26" s="506">
        <v>22</v>
      </c>
      <c r="X26" s="506">
        <v>23</v>
      </c>
      <c r="Y26" s="506">
        <v>24</v>
      </c>
      <c r="Z26" s="506">
        <v>25</v>
      </c>
      <c r="AA26" s="506">
        <v>26</v>
      </c>
      <c r="AB26" s="506">
        <v>27</v>
      </c>
      <c r="AC26" s="507">
        <v>28</v>
      </c>
      <c r="AD26"/>
      <c r="AE26"/>
    </row>
    <row r="27" spans="1:33" x14ac:dyDescent="0.3">
      <c r="A27" s="500" t="s">
        <v>92</v>
      </c>
      <c r="B27" s="93" t="e">
        <v>#DIV/0!</v>
      </c>
      <c r="C27" s="468">
        <v>391.11111111111109</v>
      </c>
      <c r="D27" s="468">
        <v>333.33333333333331</v>
      </c>
      <c r="E27" s="468">
        <v>552.38095238095241</v>
      </c>
      <c r="F27" s="468">
        <v>200</v>
      </c>
      <c r="G27" s="468">
        <v>148.14814814814815</v>
      </c>
      <c r="H27" s="468">
        <v>277.77777777777777</v>
      </c>
      <c r="I27" s="468" t="e">
        <v>#DIV/0!</v>
      </c>
      <c r="J27" s="468">
        <v>111.11111111111111</v>
      </c>
      <c r="K27" s="468">
        <v>189.47368421052633</v>
      </c>
      <c r="L27" s="468">
        <v>235.29411764705881</v>
      </c>
      <c r="M27" s="468">
        <v>275</v>
      </c>
      <c r="N27" s="468">
        <v>275.55555555555554</v>
      </c>
      <c r="O27" s="468">
        <v>80</v>
      </c>
      <c r="P27" s="468" t="e">
        <v>#DIV/0!</v>
      </c>
      <c r="Q27" s="468">
        <v>277.77777777777777</v>
      </c>
      <c r="R27" s="468">
        <v>208.33333333333334</v>
      </c>
      <c r="S27" s="468">
        <v>291.66666666666669</v>
      </c>
      <c r="T27" s="468">
        <v>266.66666666666669</v>
      </c>
      <c r="U27" s="468">
        <v>183.8235294117647</v>
      </c>
      <c r="V27" s="468">
        <v>318.18181818181819</v>
      </c>
      <c r="W27" s="468" t="e">
        <v>#DIV/0!</v>
      </c>
      <c r="X27" s="468">
        <v>722.22222222222217</v>
      </c>
      <c r="Y27" s="468">
        <v>116.07142857142857</v>
      </c>
      <c r="Z27" s="468">
        <v>125</v>
      </c>
      <c r="AA27" s="468">
        <v>443.18181818181819</v>
      </c>
      <c r="AB27" s="468">
        <v>298.61111111111109</v>
      </c>
      <c r="AC27" s="469">
        <v>343.75</v>
      </c>
      <c r="AD27"/>
      <c r="AE27"/>
    </row>
    <row r="28" spans="1:33" x14ac:dyDescent="0.3">
      <c r="A28" s="501" t="s">
        <v>93</v>
      </c>
      <c r="B28" s="95" t="e">
        <v>#DIV/0!</v>
      </c>
      <c r="C28" s="89">
        <v>728.88888888888891</v>
      </c>
      <c r="D28" s="89">
        <v>460.60606060606062</v>
      </c>
      <c r="E28" s="89">
        <v>495.23809523809524</v>
      </c>
      <c r="F28" s="89">
        <v>353.33333333333331</v>
      </c>
      <c r="G28" s="89">
        <v>585.18518518518522</v>
      </c>
      <c r="H28" s="89">
        <v>555.55555555555554</v>
      </c>
      <c r="I28" s="89" t="e">
        <v>#DIV/0!</v>
      </c>
      <c r="J28" s="89">
        <v>518.51851851851848</v>
      </c>
      <c r="K28" s="89">
        <v>231.57894736842104</v>
      </c>
      <c r="L28" s="89">
        <v>250.98039215686273</v>
      </c>
      <c r="M28" s="89">
        <v>333.33333333333331</v>
      </c>
      <c r="N28" s="89">
        <v>444.44444444444446</v>
      </c>
      <c r="O28" s="89">
        <v>435.55555555555554</v>
      </c>
      <c r="P28" s="89" t="e">
        <v>#DIV/0!</v>
      </c>
      <c r="Q28" s="89">
        <v>597.22222222222217</v>
      </c>
      <c r="R28" s="89">
        <v>250</v>
      </c>
      <c r="S28" s="89">
        <v>0</v>
      </c>
      <c r="T28" s="89">
        <v>308.33333333333331</v>
      </c>
      <c r="U28" s="89">
        <v>279.41176470588238</v>
      </c>
      <c r="V28" s="89">
        <v>568.18181818181813</v>
      </c>
      <c r="W28" s="89" t="e">
        <v>#DIV/0!</v>
      </c>
      <c r="X28" s="89">
        <v>541.66666666666663</v>
      </c>
      <c r="Y28" s="89">
        <v>625</v>
      </c>
      <c r="Z28" s="89">
        <v>541.66666666666663</v>
      </c>
      <c r="AA28" s="89">
        <v>295.45454545454544</v>
      </c>
      <c r="AB28" s="89">
        <v>416.66666666666669</v>
      </c>
      <c r="AC28" s="94">
        <v>520.83333333333337</v>
      </c>
      <c r="AD28"/>
      <c r="AE28"/>
    </row>
    <row r="29" spans="1:33" x14ac:dyDescent="0.3">
      <c r="A29" s="501" t="s">
        <v>94</v>
      </c>
      <c r="B29" s="95" t="e">
        <v>#DIV/0!</v>
      </c>
      <c r="C29" s="89">
        <v>151.11111111111111</v>
      </c>
      <c r="D29" s="89">
        <v>175.75757575757575</v>
      </c>
      <c r="E29" s="89">
        <v>158.73015873015873</v>
      </c>
      <c r="F29" s="89">
        <v>133.33333333333334</v>
      </c>
      <c r="G29" s="89">
        <v>155.55555555555554</v>
      </c>
      <c r="H29" s="89">
        <v>66.666666666666671</v>
      </c>
      <c r="I29" s="89" t="e">
        <v>#DIV/0!</v>
      </c>
      <c r="J29" s="89">
        <v>103.70370370370371</v>
      </c>
      <c r="K29" s="89">
        <v>56.140350877192979</v>
      </c>
      <c r="L29" s="89">
        <v>86.274509803921575</v>
      </c>
      <c r="M29" s="89">
        <v>41.666666666666664</v>
      </c>
      <c r="N29" s="89">
        <v>133.33333333333334</v>
      </c>
      <c r="O29" s="89">
        <v>17.777777777777779</v>
      </c>
      <c r="P29" s="89" t="e">
        <v>#DIV/0!</v>
      </c>
      <c r="Q29" s="89">
        <v>125</v>
      </c>
      <c r="R29" s="89">
        <v>91.666666666666671</v>
      </c>
      <c r="S29" s="89">
        <v>208.33333333333334</v>
      </c>
      <c r="T29" s="89">
        <v>116.66666666666667</v>
      </c>
      <c r="U29" s="89">
        <v>80.882352941176464</v>
      </c>
      <c r="V29" s="89">
        <v>147.72727272727272</v>
      </c>
      <c r="W29" s="89" t="e">
        <v>#DIV/0!</v>
      </c>
      <c r="X29" s="89">
        <v>152.77777777777777</v>
      </c>
      <c r="Y29" s="89">
        <v>178.57142857142858</v>
      </c>
      <c r="Z29" s="89">
        <v>69.444444444444443</v>
      </c>
      <c r="AA29" s="89">
        <v>113.63636363636364</v>
      </c>
      <c r="AB29" s="89">
        <v>145.83333333333334</v>
      </c>
      <c r="AC29" s="94">
        <v>197.91666666666666</v>
      </c>
      <c r="AD29"/>
      <c r="AE29"/>
    </row>
    <row r="30" spans="1:33" x14ac:dyDescent="0.3">
      <c r="A30" s="501" t="s">
        <v>231</v>
      </c>
      <c r="B30" s="95" t="e">
        <v>#DIV/0!</v>
      </c>
      <c r="C30" s="89">
        <v>0.55555555555555558</v>
      </c>
      <c r="D30" s="89">
        <v>1.1363636363636365</v>
      </c>
      <c r="E30" s="89">
        <v>0</v>
      </c>
      <c r="F30" s="89">
        <v>1.6666666666666667</v>
      </c>
      <c r="G30" s="89">
        <v>0.92592592592592593</v>
      </c>
      <c r="H30" s="89">
        <v>2.7777777777777777</v>
      </c>
      <c r="I30" s="89" t="e">
        <v>#DIV/0!</v>
      </c>
      <c r="J30" s="89">
        <v>1.8518518518518519</v>
      </c>
      <c r="K30" s="89">
        <v>0.8771929824561403</v>
      </c>
      <c r="L30" s="89">
        <v>1.9607843137254901</v>
      </c>
      <c r="M30" s="89">
        <v>2.0833333333333335</v>
      </c>
      <c r="N30" s="89">
        <v>1.1111111111111112</v>
      </c>
      <c r="O30" s="89">
        <v>2.2222222222222223</v>
      </c>
      <c r="P30" s="89" t="e">
        <v>#DIV/0!</v>
      </c>
      <c r="Q30" s="89">
        <v>0.86805555555555558</v>
      </c>
      <c r="R30" s="89">
        <v>1.0416666666666667</v>
      </c>
      <c r="S30" s="89">
        <v>1.3020833333333333</v>
      </c>
      <c r="T30" s="89">
        <v>1.0416666666666667</v>
      </c>
      <c r="U30" s="89">
        <v>0.91911764705882348</v>
      </c>
      <c r="V30" s="89">
        <v>1.4204545454545454</v>
      </c>
      <c r="W30" s="89" t="e">
        <v>#DIV/0!</v>
      </c>
      <c r="X30" s="89">
        <v>3.4722222222222223</v>
      </c>
      <c r="Y30" s="89">
        <v>1.1160714285714286</v>
      </c>
      <c r="Z30" s="89">
        <v>1.7361111111111112</v>
      </c>
      <c r="AA30" s="89">
        <v>0.71022727272727271</v>
      </c>
      <c r="AB30" s="89">
        <v>1.7361111111111112</v>
      </c>
      <c r="AC30" s="94">
        <v>1.3020833333333333</v>
      </c>
      <c r="AD30"/>
      <c r="AE30"/>
    </row>
    <row r="31" spans="1:33" ht="15" thickBot="1" x14ac:dyDescent="0.35">
      <c r="A31" s="502" t="s">
        <v>96</v>
      </c>
      <c r="B31" s="95" t="e">
        <v>#DIV/0!</v>
      </c>
      <c r="C31" s="89">
        <v>3.3333333333333335</v>
      </c>
      <c r="D31" s="89">
        <v>1.5151515151515151</v>
      </c>
      <c r="E31" s="89">
        <v>0</v>
      </c>
      <c r="F31" s="89">
        <v>1.6666666666666667</v>
      </c>
      <c r="G31" s="89">
        <v>3.7037037037037037</v>
      </c>
      <c r="H31" s="89">
        <v>2.7777777777777777</v>
      </c>
      <c r="I31" s="89" t="e">
        <v>#DIV/0!</v>
      </c>
      <c r="J31" s="89">
        <v>2.7777777777777777</v>
      </c>
      <c r="K31" s="89">
        <v>2.6315789473684212</v>
      </c>
      <c r="L31" s="89">
        <v>2.9411764705882355</v>
      </c>
      <c r="M31" s="89">
        <v>3.125</v>
      </c>
      <c r="N31" s="89">
        <v>3.3333333333333335</v>
      </c>
      <c r="O31" s="89">
        <v>2.2222222222222223</v>
      </c>
      <c r="P31" s="89" t="e">
        <v>#DIV/0!</v>
      </c>
      <c r="Q31" s="89">
        <v>2.6041666666666665</v>
      </c>
      <c r="R31" s="89">
        <v>3.125</v>
      </c>
      <c r="S31" s="89">
        <v>3.90625</v>
      </c>
      <c r="T31" s="89">
        <v>3.125</v>
      </c>
      <c r="U31" s="89">
        <v>2.7573529411764706</v>
      </c>
      <c r="V31" s="89">
        <v>4.2613636363636367</v>
      </c>
      <c r="W31" s="89" t="e">
        <v>#DIV/0!</v>
      </c>
      <c r="X31" s="89">
        <v>5.208333333333333</v>
      </c>
      <c r="Y31" s="89">
        <v>3.3482142857142856</v>
      </c>
      <c r="Z31" s="89">
        <v>2.6041666666666665</v>
      </c>
      <c r="AA31" s="89">
        <v>2.1306818181818183</v>
      </c>
      <c r="AB31" s="89">
        <v>2.6041666666666665</v>
      </c>
      <c r="AC31" s="94">
        <v>2.6041666666666665</v>
      </c>
      <c r="AD31"/>
      <c r="AE31"/>
    </row>
    <row r="32" spans="1:33" x14ac:dyDescent="0.3">
      <c r="A32" s="277" t="s">
        <v>229</v>
      </c>
      <c r="B32" s="95">
        <v>0</v>
      </c>
      <c r="C32" s="89">
        <v>1125</v>
      </c>
      <c r="D32" s="89">
        <v>1650</v>
      </c>
      <c r="E32" s="89">
        <v>1575</v>
      </c>
      <c r="F32" s="89">
        <v>1500</v>
      </c>
      <c r="G32" s="89">
        <v>1350</v>
      </c>
      <c r="H32" s="89">
        <v>900</v>
      </c>
      <c r="I32" s="89">
        <v>0</v>
      </c>
      <c r="J32" s="89">
        <v>1350</v>
      </c>
      <c r="K32" s="89">
        <v>1425</v>
      </c>
      <c r="L32" s="89">
        <v>1275</v>
      </c>
      <c r="M32" s="89">
        <v>1200</v>
      </c>
      <c r="N32" s="89">
        <v>1125</v>
      </c>
      <c r="O32" s="89">
        <v>1125</v>
      </c>
      <c r="P32" s="89">
        <v>0</v>
      </c>
      <c r="Q32" s="89">
        <v>1440</v>
      </c>
      <c r="R32" s="89">
        <v>1200</v>
      </c>
      <c r="S32" s="89">
        <v>960</v>
      </c>
      <c r="T32" s="89">
        <v>1200</v>
      </c>
      <c r="U32" s="89">
        <v>1360</v>
      </c>
      <c r="V32" s="89">
        <v>880</v>
      </c>
      <c r="W32" s="89">
        <v>0</v>
      </c>
      <c r="X32" s="89">
        <v>720</v>
      </c>
      <c r="Y32" s="89">
        <v>1120</v>
      </c>
      <c r="Z32" s="89">
        <v>1440</v>
      </c>
      <c r="AA32" s="89">
        <v>1760</v>
      </c>
      <c r="AB32" s="89">
        <v>1440</v>
      </c>
      <c r="AC32" s="94">
        <v>960</v>
      </c>
      <c r="AD32"/>
      <c r="AE32"/>
    </row>
    <row r="33" spans="1:31" ht="15" thickBot="1" x14ac:dyDescent="0.35">
      <c r="A33" s="277" t="s">
        <v>230</v>
      </c>
      <c r="B33" s="367" t="e">
        <v>#DIV/0!</v>
      </c>
      <c r="C33" s="368">
        <v>4748.1533333333336</v>
      </c>
      <c r="D33" s="368">
        <v>3732.7651515151515</v>
      </c>
      <c r="E33" s="368">
        <v>3747.9793650793649</v>
      </c>
      <c r="F33" s="368">
        <v>2896.65</v>
      </c>
      <c r="G33" s="368">
        <v>4029.6759259259261</v>
      </c>
      <c r="H33" s="368">
        <v>3415.6944444444443</v>
      </c>
      <c r="I33" s="368" t="e">
        <v>#DIV/0!</v>
      </c>
      <c r="J33" s="368">
        <v>3314.4259259259261</v>
      </c>
      <c r="K33" s="368">
        <v>1834.9859649122807</v>
      </c>
      <c r="L33" s="368">
        <v>2305.9705882352941</v>
      </c>
      <c r="M33" s="368">
        <v>2339.7979166666669</v>
      </c>
      <c r="N33" s="368">
        <v>3432.9355555555558</v>
      </c>
      <c r="O33" s="368">
        <v>2265.1644444444446</v>
      </c>
      <c r="P33" s="368" t="e">
        <v>#DIV/0!</v>
      </c>
      <c r="Q33" s="368">
        <v>3873.9756944444443</v>
      </c>
      <c r="R33" s="368">
        <v>2261.71875</v>
      </c>
      <c r="S33" s="368">
        <v>2397.78125</v>
      </c>
      <c r="T33" s="368">
        <v>2745.5250000000001</v>
      </c>
      <c r="U33" s="368">
        <v>2221.6636029411766</v>
      </c>
      <c r="V33" s="368">
        <v>4173.076704545455</v>
      </c>
      <c r="W33" s="368" t="e">
        <v>#DIV/0!</v>
      </c>
      <c r="X33" s="368">
        <v>4786.760416666667</v>
      </c>
      <c r="Y33" s="368">
        <v>4312.2946428571431</v>
      </c>
      <c r="Z33" s="368">
        <v>3124.6493055555557</v>
      </c>
      <c r="AA33" s="368">
        <v>2749.6988636363635</v>
      </c>
      <c r="AB33" s="368">
        <v>3432.7482638888887</v>
      </c>
      <c r="AC33" s="369">
        <v>4258.471354166667</v>
      </c>
      <c r="AD33"/>
      <c r="AE33"/>
    </row>
    <row r="34" spans="1:31" ht="15" thickBot="1" x14ac:dyDescent="0.3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U34" s="86"/>
      <c r="W34" s="86"/>
      <c r="X34" s="86"/>
    </row>
    <row r="35" spans="1:31" ht="15" thickBot="1" x14ac:dyDescent="0.35">
      <c r="A35" s="570"/>
      <c r="B35" s="471" t="s">
        <v>80</v>
      </c>
      <c r="C35" s="509"/>
      <c r="D35" s="510"/>
      <c r="E35" s="510"/>
      <c r="F35" s="510"/>
      <c r="G35" s="510"/>
      <c r="H35" s="510"/>
      <c r="I35" s="510"/>
      <c r="J35" s="510"/>
      <c r="K35" s="510"/>
      <c r="L35" s="510"/>
      <c r="M35" s="510"/>
      <c r="N35" s="510"/>
      <c r="O35" s="510"/>
      <c r="P35" s="510"/>
      <c r="Q35" s="510"/>
      <c r="R35" s="510"/>
      <c r="S35" s="510"/>
      <c r="T35" s="510"/>
      <c r="U35" s="510"/>
      <c r="V35" s="510"/>
      <c r="W35" s="510"/>
      <c r="X35" s="510"/>
      <c r="Y35" s="510"/>
      <c r="Z35" s="510"/>
      <c r="AA35" s="510"/>
      <c r="AB35" s="510"/>
      <c r="AC35" s="510"/>
      <c r="AD35" s="511"/>
      <c r="AE35"/>
    </row>
    <row r="36" spans="1:31" ht="15" thickBot="1" x14ac:dyDescent="0.35">
      <c r="A36" s="571"/>
      <c r="B36" s="512">
        <v>1</v>
      </c>
      <c r="C36" s="513">
        <v>2</v>
      </c>
      <c r="D36" s="513">
        <v>3</v>
      </c>
      <c r="E36" s="513">
        <v>4</v>
      </c>
      <c r="F36" s="513">
        <v>5</v>
      </c>
      <c r="G36" s="513">
        <v>6</v>
      </c>
      <c r="H36" s="513">
        <v>7</v>
      </c>
      <c r="I36" s="513">
        <v>8</v>
      </c>
      <c r="J36" s="513">
        <v>9</v>
      </c>
      <c r="K36" s="513">
        <v>10</v>
      </c>
      <c r="L36" s="513">
        <v>11</v>
      </c>
      <c r="M36" s="513">
        <v>12</v>
      </c>
      <c r="N36" s="513">
        <v>13</v>
      </c>
      <c r="O36" s="513">
        <v>14</v>
      </c>
      <c r="P36" s="513">
        <v>15</v>
      </c>
      <c r="Q36" s="513">
        <v>16</v>
      </c>
      <c r="R36" s="513">
        <v>17</v>
      </c>
      <c r="S36" s="513">
        <v>18</v>
      </c>
      <c r="T36" s="513">
        <v>19</v>
      </c>
      <c r="U36" s="513">
        <v>20</v>
      </c>
      <c r="V36" s="513">
        <v>21</v>
      </c>
      <c r="W36" s="513">
        <v>22</v>
      </c>
      <c r="X36" s="513">
        <v>23</v>
      </c>
      <c r="Y36" s="513">
        <v>24</v>
      </c>
      <c r="Z36" s="513">
        <v>25</v>
      </c>
      <c r="AA36" s="513">
        <v>26</v>
      </c>
      <c r="AB36" s="513">
        <v>27</v>
      </c>
      <c r="AC36" s="514">
        <v>28</v>
      </c>
      <c r="AD36" s="515" t="s">
        <v>72</v>
      </c>
      <c r="AE36"/>
    </row>
    <row r="37" spans="1:31" ht="15" thickBot="1" x14ac:dyDescent="0.35">
      <c r="A37" t="s">
        <v>78</v>
      </c>
      <c r="B37" s="572">
        <v>0</v>
      </c>
      <c r="C37" s="573">
        <v>1125</v>
      </c>
      <c r="D37" s="573">
        <v>1650</v>
      </c>
      <c r="E37" s="573">
        <v>1575</v>
      </c>
      <c r="F37" s="573">
        <v>1500</v>
      </c>
      <c r="G37" s="573">
        <v>1350</v>
      </c>
      <c r="H37" s="573">
        <v>900</v>
      </c>
      <c r="I37" s="573">
        <v>0</v>
      </c>
      <c r="J37" s="573">
        <v>1350</v>
      </c>
      <c r="K37" s="573">
        <v>1425</v>
      </c>
      <c r="L37" s="573">
        <v>1275</v>
      </c>
      <c r="M37" s="573">
        <v>1200</v>
      </c>
      <c r="N37" s="573">
        <v>1125</v>
      </c>
      <c r="O37" s="573">
        <v>1125</v>
      </c>
      <c r="P37" s="573">
        <v>0</v>
      </c>
      <c r="Q37" s="573">
        <v>1440</v>
      </c>
      <c r="R37" s="573">
        <v>1200</v>
      </c>
      <c r="S37" s="573">
        <v>960</v>
      </c>
      <c r="T37" s="573">
        <v>1200</v>
      </c>
      <c r="U37" s="573">
        <v>1360</v>
      </c>
      <c r="V37" s="573">
        <v>880</v>
      </c>
      <c r="W37" s="573">
        <v>0</v>
      </c>
      <c r="X37" s="573">
        <v>720</v>
      </c>
      <c r="Y37" s="573">
        <v>1120</v>
      </c>
      <c r="Z37" s="573">
        <v>1440</v>
      </c>
      <c r="AA37" s="573">
        <v>1760</v>
      </c>
      <c r="AB37" s="573">
        <v>1440</v>
      </c>
      <c r="AC37" s="573">
        <v>960</v>
      </c>
      <c r="AD37" s="574">
        <v>30080</v>
      </c>
      <c r="AE37"/>
    </row>
    <row r="38" spans="1:3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x14ac:dyDescent="0.3">
      <c r="B39" s="86"/>
      <c r="C39" s="86"/>
      <c r="D39" s="86"/>
      <c r="E39" s="86"/>
      <c r="F39" s="86"/>
      <c r="H39" s="86"/>
      <c r="I39" s="86"/>
      <c r="J39" s="86"/>
      <c r="K39" s="86"/>
      <c r="L39" s="86"/>
      <c r="M39" s="86"/>
      <c r="W39" s="86"/>
      <c r="X39" s="86"/>
    </row>
    <row r="40" spans="1:31" x14ac:dyDescent="0.3">
      <c r="B40" s="86"/>
      <c r="C40" s="86"/>
      <c r="D40" s="86"/>
      <c r="E40" s="86"/>
      <c r="F40" s="86"/>
      <c r="H40" s="86"/>
      <c r="I40" s="86"/>
      <c r="J40" s="86"/>
      <c r="K40" s="86"/>
      <c r="L40" s="86"/>
      <c r="M40" s="86"/>
      <c r="W40" s="86"/>
      <c r="X40" s="86"/>
    </row>
    <row r="41" spans="1:31" x14ac:dyDescent="0.3">
      <c r="B41" s="86"/>
      <c r="C41" s="86"/>
      <c r="D41" s="86"/>
      <c r="E41" s="86"/>
      <c r="F41" s="86"/>
      <c r="H41" s="86"/>
      <c r="I41" s="86"/>
      <c r="J41" s="86"/>
      <c r="K41" s="86"/>
      <c r="L41" s="86"/>
      <c r="M41" s="86"/>
      <c r="W41" s="86"/>
      <c r="X41" s="86"/>
    </row>
    <row r="42" spans="1:31" x14ac:dyDescent="0.3">
      <c r="W42" s="86"/>
      <c r="X42" s="86"/>
    </row>
    <row r="50" spans="2:24" x14ac:dyDescent="0.3">
      <c r="W50" s="86"/>
      <c r="X50" s="86"/>
    </row>
    <row r="51" spans="2:24" x14ac:dyDescent="0.3">
      <c r="W51" s="86"/>
      <c r="X51" s="86"/>
    </row>
    <row r="52" spans="2:24" x14ac:dyDescent="0.3">
      <c r="W52" s="86"/>
      <c r="X52" s="86"/>
    </row>
    <row r="57" spans="2:24" x14ac:dyDescent="0.3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U57" s="86"/>
      <c r="W57" s="86"/>
      <c r="X57" s="86"/>
    </row>
    <row r="58" spans="2:24" x14ac:dyDescent="0.3">
      <c r="W58" s="86"/>
      <c r="X58" s="86"/>
    </row>
    <row r="66" spans="23:24" x14ac:dyDescent="0.3">
      <c r="W66" s="86"/>
      <c r="X66" s="86"/>
    </row>
    <row r="67" spans="23:24" x14ac:dyDescent="0.3">
      <c r="W67" s="86"/>
      <c r="X67" s="86"/>
    </row>
    <row r="68" spans="23:24" x14ac:dyDescent="0.3">
      <c r="W68" s="86"/>
      <c r="X68" s="86"/>
    </row>
    <row r="69" spans="23:24" x14ac:dyDescent="0.3">
      <c r="W69" s="86"/>
      <c r="X69" s="86"/>
    </row>
    <row r="70" spans="23:24" x14ac:dyDescent="0.3">
      <c r="W70" s="86"/>
      <c r="X70" s="86"/>
    </row>
    <row r="71" spans="23:24" x14ac:dyDescent="0.3">
      <c r="W71" s="86"/>
      <c r="X71" s="86"/>
    </row>
    <row r="72" spans="23:24" x14ac:dyDescent="0.3">
      <c r="W72" s="86"/>
      <c r="X72" s="86"/>
    </row>
    <row r="73" spans="23:24" x14ac:dyDescent="0.3">
      <c r="W73" s="86"/>
      <c r="X73" s="86"/>
    </row>
    <row r="74" spans="23:24" x14ac:dyDescent="0.3">
      <c r="W74" s="86"/>
      <c r="X74" s="86"/>
    </row>
    <row r="75" spans="23:24" x14ac:dyDescent="0.3">
      <c r="W75" s="86"/>
      <c r="X75" s="86"/>
    </row>
    <row r="76" spans="23:24" x14ac:dyDescent="0.3">
      <c r="W76" s="86"/>
      <c r="X76" s="86"/>
    </row>
    <row r="77" spans="23:24" x14ac:dyDescent="0.3">
      <c r="W77" s="86"/>
      <c r="X77" s="86"/>
    </row>
    <row r="78" spans="23:24" x14ac:dyDescent="0.3">
      <c r="W78" s="86"/>
      <c r="X78" s="86"/>
    </row>
    <row r="79" spans="23:24" x14ac:dyDescent="0.3">
      <c r="W79" s="86"/>
      <c r="X79" s="86"/>
    </row>
    <row r="80" spans="23:24" x14ac:dyDescent="0.3">
      <c r="W80" s="86"/>
      <c r="X80" s="86"/>
    </row>
    <row r="81" spans="23:24" x14ac:dyDescent="0.3">
      <c r="W81" s="86"/>
      <c r="X81" s="86"/>
    </row>
    <row r="82" spans="23:24" x14ac:dyDescent="0.3">
      <c r="W82" s="86"/>
      <c r="X82" s="86"/>
    </row>
    <row r="83" spans="23:24" x14ac:dyDescent="0.3">
      <c r="W83" s="86"/>
      <c r="X83" s="86"/>
    </row>
    <row r="84" spans="23:24" x14ac:dyDescent="0.3">
      <c r="W84" s="86"/>
      <c r="X84" s="86"/>
    </row>
    <row r="85" spans="23:24" x14ac:dyDescent="0.3">
      <c r="W85" s="86"/>
      <c r="X85" s="86"/>
    </row>
    <row r="86" spans="23:24" x14ac:dyDescent="0.3">
      <c r="W86" s="86"/>
      <c r="X86" s="86"/>
    </row>
    <row r="87" spans="23:24" x14ac:dyDescent="0.3">
      <c r="W87" s="86"/>
      <c r="X87" s="86"/>
    </row>
    <row r="88" spans="23:24" x14ac:dyDescent="0.3">
      <c r="W88" s="86"/>
      <c r="X88" s="86"/>
    </row>
    <row r="89" spans="23:24" x14ac:dyDescent="0.3">
      <c r="W89" s="86"/>
      <c r="X89" s="86"/>
    </row>
    <row r="90" spans="23:24" x14ac:dyDescent="0.3">
      <c r="W90" s="86"/>
      <c r="X90" s="86"/>
    </row>
    <row r="91" spans="23:24" x14ac:dyDescent="0.3">
      <c r="W91" s="86"/>
      <c r="X91" s="86"/>
    </row>
    <row r="92" spans="23:24" x14ac:dyDescent="0.3">
      <c r="W92" s="86"/>
      <c r="X92" s="86"/>
    </row>
    <row r="93" spans="23:24" x14ac:dyDescent="0.3">
      <c r="W93" s="86"/>
      <c r="X93" s="86"/>
    </row>
    <row r="94" spans="23:24" x14ac:dyDescent="0.3">
      <c r="W94" s="86"/>
      <c r="X94" s="86"/>
    </row>
    <row r="95" spans="23:24" x14ac:dyDescent="0.3">
      <c r="W95" s="86"/>
      <c r="X95" s="86"/>
    </row>
    <row r="96" spans="23:24" x14ac:dyDescent="0.3">
      <c r="W96" s="86"/>
      <c r="X96" s="86"/>
    </row>
    <row r="97" spans="23:24" x14ac:dyDescent="0.3">
      <c r="W97" s="86"/>
      <c r="X97" s="86"/>
    </row>
    <row r="98" spans="23:24" x14ac:dyDescent="0.3">
      <c r="W98" s="86"/>
      <c r="X98" s="86"/>
    </row>
    <row r="99" spans="23:24" x14ac:dyDescent="0.3">
      <c r="W99" s="86"/>
      <c r="X99" s="86"/>
    </row>
    <row r="100" spans="23:24" x14ac:dyDescent="0.3">
      <c r="W100" s="86"/>
      <c r="X100" s="86"/>
    </row>
    <row r="101" spans="23:24" x14ac:dyDescent="0.3">
      <c r="W101" s="86"/>
      <c r="X101" s="86"/>
    </row>
    <row r="102" spans="23:24" x14ac:dyDescent="0.3">
      <c r="W102" s="86"/>
      <c r="X102" s="86"/>
    </row>
    <row r="103" spans="23:24" x14ac:dyDescent="0.3">
      <c r="W103" s="86"/>
      <c r="X103" s="86"/>
    </row>
    <row r="104" spans="23:24" x14ac:dyDescent="0.3">
      <c r="W104" s="86"/>
      <c r="X104" s="86"/>
    </row>
    <row r="105" spans="23:24" x14ac:dyDescent="0.3">
      <c r="W105" s="86"/>
      <c r="X105" s="86"/>
    </row>
    <row r="106" spans="23:24" x14ac:dyDescent="0.3">
      <c r="W106" s="86"/>
      <c r="X106" s="86"/>
    </row>
    <row r="107" spans="23:24" x14ac:dyDescent="0.3">
      <c r="W107" s="86"/>
      <c r="X107" s="86"/>
    </row>
    <row r="108" spans="23:24" x14ac:dyDescent="0.3">
      <c r="W108" s="86"/>
      <c r="X108" s="86"/>
    </row>
  </sheetData>
  <mergeCells count="3">
    <mergeCell ref="A24:F24"/>
    <mergeCell ref="A1:F1"/>
    <mergeCell ref="A12:F12"/>
  </mergeCells>
  <conditionalFormatting pivot="1" sqref="B27:AC27">
    <cfRule type="cellIs" dxfId="415" priority="4" operator="greaterThan">
      <formula>350</formula>
    </cfRule>
  </conditionalFormatting>
  <conditionalFormatting pivot="1" sqref="C28:AC28">
    <cfRule type="cellIs" dxfId="414" priority="3" operator="greaterThan">
      <formula>700</formula>
    </cfRule>
  </conditionalFormatting>
  <conditionalFormatting pivot="1" sqref="B29:AC29">
    <cfRule type="cellIs" dxfId="413" priority="2" operator="greaterThan">
      <formula>300</formula>
    </cfRule>
  </conditionalFormatting>
  <conditionalFormatting pivot="1" sqref="B37:AD37">
    <cfRule type="cellIs" dxfId="412" priority="1" operator="greaterThan">
      <formula>1920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4" x14ac:dyDescent="0.3"/>
  <cols>
    <col min="1" max="1" width="0.33203125" customWidth="1"/>
    <col min="2" max="2" width="26.109375" customWidth="1"/>
    <col min="3" max="3" width="11.6640625" customWidth="1"/>
    <col min="4" max="4" width="10.88671875" style="1" customWidth="1"/>
    <col min="5" max="5" width="7.77734375" bestFit="1" customWidth="1"/>
    <col min="6" max="6" width="8.21875" customWidth="1"/>
    <col min="7" max="7" width="9.109375" style="1" customWidth="1"/>
    <col min="8" max="8" width="8.109375" bestFit="1" customWidth="1"/>
    <col min="9" max="9" width="10" customWidth="1"/>
    <col min="10" max="10" width="8.77734375" style="1" bestFit="1" customWidth="1"/>
    <col min="11" max="11" width="7.88671875" customWidth="1"/>
    <col min="13" max="13" width="8.88671875" style="1" bestFit="1" customWidth="1"/>
    <col min="17" max="17" width="11.886718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651" t="s">
        <v>7</v>
      </c>
      <c r="C2" s="660" t="s">
        <v>12</v>
      </c>
      <c r="D2" s="656" t="s">
        <v>14</v>
      </c>
      <c r="E2" s="657"/>
      <c r="F2" s="658" t="s">
        <v>9</v>
      </c>
      <c r="G2" s="659"/>
      <c r="H2" s="662" t="s">
        <v>18</v>
      </c>
      <c r="I2" s="663"/>
      <c r="J2" s="644" t="s">
        <v>13</v>
      </c>
      <c r="K2" s="645"/>
      <c r="L2" s="642" t="s">
        <v>37</v>
      </c>
      <c r="M2" s="643"/>
      <c r="N2" s="642" t="s">
        <v>38</v>
      </c>
      <c r="O2" s="643"/>
    </row>
    <row r="3" spans="2:68" ht="15" thickBot="1" x14ac:dyDescent="0.35">
      <c r="B3" s="652"/>
      <c r="C3" s="661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3">
      <c r="B4" s="3" t="s">
        <v>1</v>
      </c>
      <c r="C4" s="2">
        <v>1.24</v>
      </c>
      <c r="D4" s="20" t="s">
        <v>195</v>
      </c>
      <c r="E4" s="4">
        <f>D4*C4</f>
        <v>1860</v>
      </c>
      <c r="F4" s="20">
        <f>GETPIVOTDATA("COF 280 ACIDO (L)",'CONSUMO QUÍMICA-CAUDALES GEM  '!$A$2)</f>
        <v>8210</v>
      </c>
      <c r="G4" s="4">
        <f>GETPIVOTDATA("COF 280 - KG ACIDO",'CONSUMO QUÍMICA-CAUDALES GEM  '!$A$13)</f>
        <v>10673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1677.1612903225814</v>
      </c>
      <c r="K4" s="51">
        <f>J4*$C4</f>
        <v>2079.6800000000007</v>
      </c>
      <c r="L4" s="50">
        <f>97+48+97</f>
        <v>242</v>
      </c>
      <c r="M4" s="51">
        <f>L4*$C4</f>
        <v>300.08</v>
      </c>
      <c r="N4" s="50">
        <f>J4-L4-1000</f>
        <v>435.16129032258141</v>
      </c>
      <c r="O4" s="51">
        <f>N4*$C4</f>
        <v>539.60000000000093</v>
      </c>
      <c r="P4" s="1"/>
    </row>
    <row r="5" spans="2:68" ht="15.75" customHeight="1" x14ac:dyDescent="0.3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12980</v>
      </c>
      <c r="G5" s="6">
        <f>GETPIVOTDATA("COF 235 - KG COAGULANTE",'CONSUMO QUÍMICA-CAUDALES GEM  '!$A$13)</f>
        <v>17198.5</v>
      </c>
      <c r="H5" s="20">
        <f>(+C16+E16+G16+I16+K16+M16+O16+Q16+S16)</f>
        <v>13000</v>
      </c>
      <c r="I5" s="4">
        <f>H5*C5</f>
        <v>17225</v>
      </c>
      <c r="J5" s="6">
        <f>(D5+H5)-F5</f>
        <v>3520</v>
      </c>
      <c r="K5" s="6">
        <f t="shared" ref="K5:M8" si="0">J5*$C5</f>
        <v>4664</v>
      </c>
      <c r="L5" s="20">
        <v>0</v>
      </c>
      <c r="M5" s="6">
        <f t="shared" si="0"/>
        <v>0</v>
      </c>
      <c r="N5" s="20">
        <f>J5-L5</f>
        <v>3520</v>
      </c>
      <c r="O5" s="6">
        <f>N5*$C5</f>
        <v>4664</v>
      </c>
      <c r="P5" s="1"/>
    </row>
    <row r="6" spans="2:68" x14ac:dyDescent="0.3">
      <c r="B6" s="5" t="s">
        <v>0</v>
      </c>
      <c r="C6" s="2">
        <v>1.1000000000000001</v>
      </c>
      <c r="D6" s="20" t="s">
        <v>196</v>
      </c>
      <c r="E6" s="6">
        <f>D6*C6</f>
        <v>462.00000000000006</v>
      </c>
      <c r="F6" s="20">
        <f>GETPIVOTDATA("COF 255  DECOLORANTE (L)",'CONSUMO QUÍMICA-CAUDALES GEM  '!$A$2)</f>
        <v>3610</v>
      </c>
      <c r="G6" s="6">
        <f>GETPIVOTDATA("COF 255 - KG DECOLORANTE ",'CONSUMO QUÍMICA-CAUDALES GEM  '!$A$13)</f>
        <v>4512.5</v>
      </c>
      <c r="H6" s="20">
        <f>(+C17+E17+G17+I17+K17+M17+O17+Q17+S17)</f>
        <v>7681.7272727272721</v>
      </c>
      <c r="I6" s="4">
        <f>H6*C6</f>
        <v>8449.9</v>
      </c>
      <c r="J6" s="6">
        <f>(D6+H6)-F6</f>
        <v>4491.7272727272721</v>
      </c>
      <c r="K6" s="6">
        <f t="shared" si="0"/>
        <v>4940.8999999999996</v>
      </c>
      <c r="L6" s="20">
        <f>273+273+273+409+136</f>
        <v>1364</v>
      </c>
      <c r="M6" s="6">
        <f t="shared" si="0"/>
        <v>1500.4</v>
      </c>
      <c r="N6" s="20">
        <f>J6-L6</f>
        <v>3127.7272727272721</v>
      </c>
      <c r="O6" s="6">
        <f>N6*$C6</f>
        <v>3440.4999999999995</v>
      </c>
      <c r="P6" s="1"/>
    </row>
    <row r="7" spans="2:68" x14ac:dyDescent="0.3">
      <c r="B7" s="5" t="s">
        <v>3</v>
      </c>
      <c r="C7" s="2">
        <v>2.5000000000000001E-3</v>
      </c>
      <c r="D7" s="20" t="s">
        <v>197</v>
      </c>
      <c r="E7" s="6">
        <f>D7*C7</f>
        <v>0.35000000000000003</v>
      </c>
      <c r="F7" s="20">
        <f>(GETPIVOTDATA("COF 440 POL ANIONICO (KG)",'CONSUMO QUÍMICA-CAUDALES GEM  '!$A$2)/C7)</f>
        <v>66000</v>
      </c>
      <c r="G7" s="6">
        <f>GETPIVOTDATA("COF 440 - KG POL ANIONICO ",'CONSUMO QUÍMICA-CAUDALES GEM  '!$A$13)</f>
        <v>165</v>
      </c>
      <c r="H7" s="20">
        <f>(+C18+E18+G18+I18+K18+M18+O18+Q18+S18)</f>
        <v>30000</v>
      </c>
      <c r="I7" s="4">
        <f>H7*C7</f>
        <v>75</v>
      </c>
      <c r="J7" s="6">
        <f>(D7+H7)-F7</f>
        <v>-35860</v>
      </c>
      <c r="K7" s="6">
        <f t="shared" si="0"/>
        <v>-89.65</v>
      </c>
      <c r="L7" s="20">
        <v>0</v>
      </c>
      <c r="M7" s="6">
        <f t="shared" si="0"/>
        <v>0</v>
      </c>
      <c r="N7" s="20">
        <f>J7-L7</f>
        <v>-35860</v>
      </c>
      <c r="O7" s="6">
        <f>N7*$C7</f>
        <v>-89.65</v>
      </c>
      <c r="P7" s="1"/>
    </row>
    <row r="8" spans="2:68" ht="15" thickBot="1" x14ac:dyDescent="0.35">
      <c r="B8" s="7" t="s">
        <v>8</v>
      </c>
      <c r="C8" s="29">
        <v>2.5000000000000001E-3</v>
      </c>
      <c r="D8" s="21" t="s">
        <v>198</v>
      </c>
      <c r="E8" s="8">
        <f>D8*C8</f>
        <v>0.38750000000000001</v>
      </c>
      <c r="F8" s="21">
        <v>150000</v>
      </c>
      <c r="G8" s="8">
        <f>GETPIVOTDATA("COF 494 - KG POL CATIONICO ",'CONSUMO QUÍMICA-CAUDALES GEM  '!$A$13)</f>
        <v>325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5">
      <c r="B9" s="9"/>
      <c r="C9" s="9"/>
      <c r="D9" s="37"/>
      <c r="E9" s="9"/>
      <c r="L9" s="587"/>
      <c r="M9" s="587"/>
      <c r="N9" s="587"/>
      <c r="O9" s="587"/>
      <c r="P9" s="587"/>
      <c r="Q9" s="587"/>
      <c r="R9" s="587"/>
      <c r="S9" s="587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87"/>
      <c r="AF9" s="587"/>
      <c r="AG9" s="587"/>
      <c r="AH9" s="587"/>
      <c r="AI9" s="587"/>
      <c r="AJ9" s="587"/>
      <c r="AK9" s="587"/>
      <c r="AL9" s="587"/>
      <c r="AM9" s="587"/>
      <c r="AN9" s="587"/>
      <c r="AO9" s="587"/>
      <c r="AP9" s="587"/>
      <c r="AQ9" s="587"/>
      <c r="AR9" s="587"/>
      <c r="AS9" s="587"/>
      <c r="AT9" s="587"/>
      <c r="AU9" s="587"/>
      <c r="AV9" s="587"/>
      <c r="AW9" s="587"/>
      <c r="AX9" s="587"/>
      <c r="AY9" s="587"/>
      <c r="AZ9" s="587"/>
      <c r="BA9" s="587"/>
      <c r="BB9" s="587"/>
      <c r="BC9" s="587"/>
      <c r="BD9" s="587"/>
      <c r="BE9" s="587"/>
      <c r="BF9" s="587"/>
      <c r="BG9" s="587"/>
      <c r="BH9" s="587"/>
      <c r="BI9" s="587"/>
      <c r="BJ9" s="587"/>
      <c r="BK9" s="587"/>
      <c r="BL9" s="587"/>
      <c r="BM9" s="587"/>
      <c r="BN9" s="587"/>
      <c r="BO9" s="587"/>
      <c r="BP9" s="587"/>
    </row>
    <row r="10" spans="2:68" ht="16.5" customHeight="1" thickBot="1" x14ac:dyDescent="0.35">
      <c r="B10" s="653" t="s">
        <v>7</v>
      </c>
      <c r="C10" s="639" t="s">
        <v>17</v>
      </c>
      <c r="D10" s="640"/>
      <c r="E10" s="640"/>
      <c r="F10" s="640"/>
      <c r="G10" s="640"/>
      <c r="H10" s="640"/>
      <c r="I10" s="640"/>
      <c r="J10" s="640"/>
      <c r="K10" s="640"/>
      <c r="L10" s="640"/>
      <c r="M10" s="640"/>
      <c r="N10" s="640"/>
      <c r="O10" s="640"/>
      <c r="P10" s="640"/>
      <c r="Q10" s="640"/>
      <c r="R10" s="640"/>
      <c r="S10" s="640"/>
      <c r="T10" s="641"/>
    </row>
    <row r="11" spans="2:68" ht="26.55" customHeight="1" x14ac:dyDescent="0.3">
      <c r="B11" s="654"/>
      <c r="C11" s="646">
        <v>45660</v>
      </c>
      <c r="D11" s="648"/>
      <c r="E11" s="646" t="s">
        <v>199</v>
      </c>
      <c r="F11" s="648"/>
      <c r="G11" s="646">
        <v>45672</v>
      </c>
      <c r="H11" s="648"/>
      <c r="I11" s="646">
        <v>45674</v>
      </c>
      <c r="J11" s="647"/>
      <c r="K11" s="646"/>
      <c r="L11" s="648"/>
      <c r="M11" s="646"/>
      <c r="N11" s="648"/>
      <c r="O11" s="646"/>
      <c r="P11" s="648"/>
      <c r="Q11" s="646"/>
      <c r="R11" s="648"/>
      <c r="S11" s="649"/>
      <c r="T11" s="650"/>
    </row>
    <row r="12" spans="2:68" x14ac:dyDescent="0.3">
      <c r="B12" s="654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3">
      <c r="B13" s="654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5" thickBot="1" x14ac:dyDescent="0.35">
      <c r="B14" s="655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3">
      <c r="B15" s="12" t="s">
        <v>1</v>
      </c>
      <c r="C15" s="297">
        <v>0</v>
      </c>
      <c r="D15" s="267">
        <f>C15*$C$4</f>
        <v>0</v>
      </c>
      <c r="E15" s="297">
        <v>2097</v>
      </c>
      <c r="F15" s="267">
        <f>E15*$C$4</f>
        <v>2600.2800000000002</v>
      </c>
      <c r="G15" s="297">
        <v>3145</v>
      </c>
      <c r="H15" s="267">
        <f>G15*$C$4</f>
        <v>3899.8</v>
      </c>
      <c r="I15" s="297">
        <v>3145.161290322581</v>
      </c>
      <c r="J15" s="267">
        <f>I15*$C$4</f>
        <v>3900.0000000000005</v>
      </c>
      <c r="K15" s="266"/>
      <c r="L15" s="267"/>
      <c r="M15" s="57"/>
      <c r="N15" s="58"/>
      <c r="O15" s="57"/>
      <c r="P15" s="58"/>
      <c r="Q15" s="57"/>
      <c r="R15" s="58"/>
      <c r="S15" s="57"/>
      <c r="T15" s="14"/>
    </row>
    <row r="16" spans="2:68" x14ac:dyDescent="0.3">
      <c r="B16" s="15" t="s">
        <v>2</v>
      </c>
      <c r="C16" s="298">
        <v>1000</v>
      </c>
      <c r="D16" s="269">
        <f>+C16*$C$5</f>
        <v>1325</v>
      </c>
      <c r="E16" s="298">
        <v>3000</v>
      </c>
      <c r="F16" s="269">
        <f>+E16*$C$5</f>
        <v>3975</v>
      </c>
      <c r="G16" s="298">
        <v>4000</v>
      </c>
      <c r="H16" s="269">
        <f>+G16*$C$5</f>
        <v>5300</v>
      </c>
      <c r="I16" s="298">
        <v>5000.0000000000009</v>
      </c>
      <c r="J16" s="269">
        <f>+I16*$C$5</f>
        <v>6625.0000000000009</v>
      </c>
      <c r="K16" s="268"/>
      <c r="L16" s="269"/>
      <c r="M16" s="16"/>
      <c r="N16" s="14"/>
      <c r="O16" s="16"/>
      <c r="P16" s="14"/>
      <c r="Q16" s="16"/>
      <c r="R16" s="14"/>
      <c r="S16" s="16"/>
      <c r="T16" s="14"/>
    </row>
    <row r="17" spans="2:92" x14ac:dyDescent="0.3">
      <c r="B17" s="15" t="s">
        <v>0</v>
      </c>
      <c r="C17" s="298">
        <v>1136</v>
      </c>
      <c r="D17" s="269">
        <f>+C17*$C$6</f>
        <v>1249.6000000000001</v>
      </c>
      <c r="E17" s="298">
        <v>2273</v>
      </c>
      <c r="F17" s="269">
        <f>+E17*$C$6</f>
        <v>2500.3000000000002</v>
      </c>
      <c r="G17" s="298">
        <v>2000</v>
      </c>
      <c r="H17" s="269">
        <f>+G17*$C$6</f>
        <v>2200</v>
      </c>
      <c r="I17" s="298">
        <v>2272.7272727272725</v>
      </c>
      <c r="J17" s="269">
        <f>+I17*$C$6</f>
        <v>2500</v>
      </c>
      <c r="K17" s="268"/>
      <c r="L17" s="269"/>
      <c r="M17" s="16"/>
      <c r="N17" s="14"/>
      <c r="O17" s="16"/>
      <c r="P17" s="14"/>
      <c r="Q17" s="16"/>
      <c r="R17" s="14"/>
      <c r="S17" s="16"/>
      <c r="T17" s="14"/>
    </row>
    <row r="18" spans="2:92" x14ac:dyDescent="0.3">
      <c r="B18" s="15" t="s">
        <v>3</v>
      </c>
      <c r="C18" s="298">
        <v>30000</v>
      </c>
      <c r="D18" s="269">
        <f>+C18*$C$7</f>
        <v>75</v>
      </c>
      <c r="E18" s="298">
        <v>0</v>
      </c>
      <c r="F18" s="269">
        <f>+E18*$C$7</f>
        <v>0</v>
      </c>
      <c r="G18" s="298">
        <v>0</v>
      </c>
      <c r="H18" s="269">
        <f>+G18*$C$7</f>
        <v>0</v>
      </c>
      <c r="I18" s="298">
        <v>0</v>
      </c>
      <c r="J18" s="269">
        <f>+I18*$C$7</f>
        <v>0</v>
      </c>
      <c r="K18" s="268"/>
      <c r="L18" s="269"/>
      <c r="M18" s="16"/>
      <c r="N18" s="14"/>
      <c r="O18" s="16"/>
      <c r="P18" s="14"/>
      <c r="Q18" s="16"/>
      <c r="R18" s="14"/>
      <c r="S18" s="16"/>
      <c r="T18" s="14"/>
    </row>
    <row r="19" spans="2:92" ht="15" customHeight="1" thickBot="1" x14ac:dyDescent="0.35">
      <c r="B19" s="17" t="s">
        <v>8</v>
      </c>
      <c r="C19" s="299">
        <v>0</v>
      </c>
      <c r="D19" s="269">
        <f>+C19*$C$8</f>
        <v>0</v>
      </c>
      <c r="E19" s="299">
        <v>0</v>
      </c>
      <c r="F19" s="269">
        <f>+E19*$C$8</f>
        <v>0</v>
      </c>
      <c r="G19" s="299">
        <v>0</v>
      </c>
      <c r="H19" s="269">
        <f>+G19*$C$8</f>
        <v>0</v>
      </c>
      <c r="I19" s="299">
        <v>40000</v>
      </c>
      <c r="J19" s="269">
        <f>+I19*$C$8</f>
        <v>100</v>
      </c>
      <c r="K19" s="270"/>
      <c r="L19" s="271"/>
      <c r="M19" s="18"/>
      <c r="N19" s="19"/>
      <c r="O19" s="18"/>
      <c r="P19" s="19"/>
      <c r="Q19" s="18"/>
      <c r="R19" s="19"/>
      <c r="S19" s="18"/>
      <c r="T19" s="19"/>
    </row>
    <row r="20" spans="2:92" ht="3.3" customHeight="1" x14ac:dyDescent="0.3">
      <c r="M20"/>
    </row>
    <row r="21" spans="2:92" ht="7.5" customHeight="1" thickBot="1" x14ac:dyDescent="0.35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75" customHeight="1" thickBot="1" x14ac:dyDescent="0.35">
      <c r="B22" s="664" t="s">
        <v>7</v>
      </c>
      <c r="C22" s="637" t="s">
        <v>25</v>
      </c>
      <c r="D22" s="638"/>
      <c r="E22" s="638"/>
      <c r="F22" s="638"/>
      <c r="G22" s="63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8"/>
      <c r="W22" s="638"/>
      <c r="X22" s="638"/>
      <c r="Y22" s="638"/>
      <c r="Z22" s="638"/>
      <c r="AA22" s="638"/>
      <c r="AB22" s="638"/>
      <c r="AC22" s="638"/>
      <c r="AD22" s="638"/>
      <c r="AE22" s="638"/>
      <c r="AF22" s="638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75" customHeight="1" thickBot="1" x14ac:dyDescent="0.35">
      <c r="B23" s="665"/>
      <c r="C23" s="634">
        <v>2</v>
      </c>
      <c r="D23" s="635"/>
      <c r="E23" s="636"/>
      <c r="F23" s="634">
        <v>3</v>
      </c>
      <c r="G23" s="635"/>
      <c r="H23" s="636"/>
      <c r="I23" s="634">
        <v>4</v>
      </c>
      <c r="J23" s="635"/>
      <c r="K23" s="636"/>
      <c r="L23" s="634">
        <v>45667</v>
      </c>
      <c r="M23" s="635"/>
      <c r="N23" s="636"/>
      <c r="O23" s="634">
        <v>45668</v>
      </c>
      <c r="P23" s="635"/>
      <c r="Q23" s="636"/>
      <c r="R23" s="634">
        <v>45670</v>
      </c>
      <c r="S23" s="635"/>
      <c r="T23" s="636"/>
      <c r="U23" s="634">
        <v>45672</v>
      </c>
      <c r="V23" s="635"/>
      <c r="W23" s="636"/>
      <c r="X23" s="634">
        <v>45673</v>
      </c>
      <c r="Y23" s="635"/>
      <c r="Z23" s="636"/>
      <c r="AA23" s="634">
        <v>45674</v>
      </c>
      <c r="AB23" s="635"/>
      <c r="AC23" s="636"/>
      <c r="AD23" s="634">
        <v>45677</v>
      </c>
      <c r="AE23" s="635"/>
      <c r="AF23" s="636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5" customHeight="1" thickBot="1" x14ac:dyDescent="0.35">
      <c r="B24" s="666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3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300">
        <v>2</v>
      </c>
      <c r="M25" s="53"/>
      <c r="N25" s="4">
        <f>L25*M25</f>
        <v>0</v>
      </c>
      <c r="O25" s="13"/>
      <c r="P25" s="53"/>
      <c r="Q25" s="4">
        <f>O25*P25</f>
        <v>0</v>
      </c>
      <c r="R25" s="300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3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3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3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5" thickBot="1" x14ac:dyDescent="0.35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3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3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3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3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3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3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3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3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3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3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3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3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3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3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3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3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3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3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3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3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3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3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3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3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3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3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3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3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3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3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3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3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3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3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3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3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3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3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3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3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3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3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3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3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3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3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3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3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3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3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3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3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3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3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3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3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3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3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3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3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3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3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3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3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3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3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3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3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3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3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3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3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3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3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3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3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3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3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3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3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3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3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3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3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3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3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3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3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3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3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3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3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3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3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3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3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3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3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3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3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3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3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3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3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3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3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3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3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3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3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3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3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3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3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3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3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3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3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3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3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3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3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3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3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3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3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3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3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3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3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3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3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3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3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3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3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3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3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3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3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3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3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3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3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3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3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3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3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3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3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3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3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3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3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3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3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3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3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3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3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3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3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3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3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3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3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3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3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3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3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3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3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3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3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3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3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3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3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3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3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3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3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3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3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3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3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3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3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3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3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3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3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3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3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3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3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3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3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3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3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3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3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3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3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3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3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3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3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3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3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3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3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3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3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3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3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3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3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3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3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3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3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3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3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3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3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3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3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3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3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3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3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3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3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3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3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3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3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3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3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3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3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3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3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3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3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3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3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3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3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3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3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3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3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3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3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3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3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3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3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3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3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3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3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3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3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3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3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3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3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3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3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3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3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3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3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3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3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3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3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3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3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3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3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3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3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3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3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3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3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3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3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3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3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3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3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3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3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3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3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3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3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3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3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3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3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3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3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3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3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3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3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3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3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3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3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3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3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3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3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3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3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3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3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3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3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3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3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3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3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3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3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3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3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3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3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3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3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3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3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3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3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3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3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3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3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3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3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3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3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3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3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3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3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3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3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3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3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3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3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3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3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3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3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3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3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3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3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3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3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3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3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3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3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3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3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3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3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3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3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3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3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3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3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3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3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>
    <tabColor rgb="FFFFFF00"/>
  </sheetPr>
  <dimension ref="A1:BI97"/>
  <sheetViews>
    <sheetView zoomScale="70" zoomScaleNormal="70" workbookViewId="0">
      <pane xSplit="8" ySplit="1" topLeftCell="AA78" activePane="bottomRight" state="frozen"/>
      <selection pane="topRight" activeCell="I1" sqref="I1"/>
      <selection pane="bottomLeft" activeCell="A2" sqref="A2"/>
      <selection pane="bottomRight" activeCell="AJ93" sqref="AJ93"/>
    </sheetView>
  </sheetViews>
  <sheetFormatPr baseColWidth="10" defaultRowHeight="14.4" x14ac:dyDescent="0.3"/>
  <cols>
    <col min="2" max="2" width="8.77734375" customWidth="1"/>
    <col min="3" max="3" width="12.21875" bestFit="1" customWidth="1"/>
    <col min="4" max="8" width="11.33203125" hidden="1" customWidth="1"/>
    <col min="9" max="9" width="15.21875" style="230" bestFit="1" customWidth="1"/>
    <col min="10" max="10" width="9.88671875" style="70" customWidth="1"/>
    <col min="11" max="11" width="10.109375" style="70" customWidth="1"/>
    <col min="12" max="12" width="10.6640625" style="70" customWidth="1"/>
    <col min="13" max="13" width="9.77734375" style="70" hidden="1" customWidth="1"/>
    <col min="14" max="14" width="13.77734375" style="70" customWidth="1"/>
    <col min="15" max="15" width="10.88671875" style="70" customWidth="1"/>
    <col min="16" max="16" width="19.109375" style="70" customWidth="1"/>
    <col min="17" max="17" width="17" style="70" customWidth="1"/>
    <col min="18" max="18" width="19.6640625" style="70" hidden="1" customWidth="1"/>
    <col min="19" max="19" width="15.21875" style="70" customWidth="1"/>
    <col min="20" max="20" width="12.88671875" style="70" customWidth="1"/>
    <col min="21" max="21" width="17.21875" style="70" customWidth="1"/>
    <col min="22" max="22" width="17.88671875" style="70" customWidth="1"/>
    <col min="23" max="23" width="16.109375" style="70" hidden="1" customWidth="1"/>
    <col min="24" max="24" width="16.77734375" style="70" customWidth="1"/>
    <col min="25" max="29" width="11.33203125" style="70" customWidth="1"/>
    <col min="30" max="30" width="16.21875" style="70" customWidth="1"/>
    <col min="31" max="31" width="25.21875" style="70" customWidth="1"/>
    <col min="32" max="32" width="19.6640625" style="70" customWidth="1"/>
    <col min="33" max="33" width="21.6640625" style="70" hidden="1" customWidth="1"/>
    <col min="34" max="34" width="20.33203125" style="70" customWidth="1"/>
    <col min="35" max="36" width="19.6640625" style="70" customWidth="1"/>
    <col min="37" max="37" width="16.33203125" customWidth="1"/>
    <col min="38" max="39" width="17.33203125" customWidth="1"/>
    <col min="40" max="40" width="17.33203125" hidden="1" customWidth="1"/>
    <col min="41" max="41" width="17.33203125" customWidth="1"/>
    <col min="42" max="46" width="16.109375" customWidth="1"/>
    <col min="47" max="47" width="18.109375" customWidth="1"/>
    <col min="48" max="49" width="18.33203125" customWidth="1"/>
    <col min="50" max="50" width="17.88671875" hidden="1" customWidth="1"/>
    <col min="51" max="51" width="19.6640625" customWidth="1"/>
    <col min="52" max="52" width="13.88671875" bestFit="1" customWidth="1"/>
    <col min="53" max="53" width="12.21875" customWidth="1"/>
    <col min="54" max="54" width="13.109375" customWidth="1"/>
    <col min="55" max="55" width="13" hidden="1" customWidth="1"/>
    <col min="56" max="56" width="11.21875" hidden="1" customWidth="1"/>
  </cols>
  <sheetData>
    <row r="1" spans="1:61" s="180" customFormat="1" ht="58.2" thickBot="1" x14ac:dyDescent="0.35">
      <c r="A1" s="158" t="s">
        <v>27</v>
      </c>
      <c r="B1" s="158" t="s">
        <v>79</v>
      </c>
      <c r="C1" s="159" t="s">
        <v>26</v>
      </c>
      <c r="D1" s="160" t="s">
        <v>23</v>
      </c>
      <c r="E1" s="161" t="s">
        <v>22</v>
      </c>
      <c r="F1" s="162" t="s">
        <v>21</v>
      </c>
      <c r="G1" s="162" t="s">
        <v>20</v>
      </c>
      <c r="H1" s="161" t="s">
        <v>19</v>
      </c>
      <c r="I1" s="229" t="s">
        <v>166</v>
      </c>
      <c r="J1" s="228" t="s">
        <v>129</v>
      </c>
      <c r="K1" s="163" t="s">
        <v>130</v>
      </c>
      <c r="L1" s="163" t="s">
        <v>131</v>
      </c>
      <c r="M1" s="163" t="s">
        <v>132</v>
      </c>
      <c r="N1" s="164" t="s">
        <v>133</v>
      </c>
      <c r="O1" s="165" t="s">
        <v>134</v>
      </c>
      <c r="P1" s="166" t="s">
        <v>135</v>
      </c>
      <c r="Q1" s="166" t="s">
        <v>136</v>
      </c>
      <c r="R1" s="166" t="s">
        <v>137</v>
      </c>
      <c r="S1" s="166" t="s">
        <v>138</v>
      </c>
      <c r="T1" s="167" t="s">
        <v>140</v>
      </c>
      <c r="U1" s="168" t="s">
        <v>141</v>
      </c>
      <c r="V1" s="169" t="s">
        <v>142</v>
      </c>
      <c r="W1" s="169" t="s">
        <v>143</v>
      </c>
      <c r="X1" s="170" t="s">
        <v>139</v>
      </c>
      <c r="Y1" s="171" t="s">
        <v>97</v>
      </c>
      <c r="Z1" s="172" t="s">
        <v>98</v>
      </c>
      <c r="AA1" s="173" t="s">
        <v>99</v>
      </c>
      <c r="AB1" s="173" t="s">
        <v>100</v>
      </c>
      <c r="AC1" s="174" t="s">
        <v>101</v>
      </c>
      <c r="AD1" s="175" t="s">
        <v>144</v>
      </c>
      <c r="AE1" s="176" t="s">
        <v>148</v>
      </c>
      <c r="AF1" s="177" t="s">
        <v>147</v>
      </c>
      <c r="AG1" s="177" t="s">
        <v>146</v>
      </c>
      <c r="AH1" s="178" t="s">
        <v>145</v>
      </c>
      <c r="AI1" s="304" t="s">
        <v>102</v>
      </c>
      <c r="AJ1" s="304" t="s">
        <v>337</v>
      </c>
      <c r="AK1" s="153" t="s">
        <v>103</v>
      </c>
      <c r="AL1" s="154" t="s">
        <v>104</v>
      </c>
      <c r="AM1" s="154" t="s">
        <v>105</v>
      </c>
      <c r="AN1" s="154" t="s">
        <v>106</v>
      </c>
      <c r="AO1" s="155" t="s">
        <v>107</v>
      </c>
      <c r="AP1" s="179" t="s">
        <v>128</v>
      </c>
      <c r="AQ1" s="172" t="s">
        <v>127</v>
      </c>
      <c r="AR1" s="173" t="s">
        <v>126</v>
      </c>
      <c r="AS1" s="173" t="s">
        <v>125</v>
      </c>
      <c r="AT1" s="174" t="s">
        <v>124</v>
      </c>
      <c r="AU1" s="179" t="s">
        <v>108</v>
      </c>
      <c r="AV1" s="173" t="s">
        <v>109</v>
      </c>
      <c r="AW1" s="173" t="s">
        <v>110</v>
      </c>
      <c r="AX1" s="173" t="s">
        <v>111</v>
      </c>
      <c r="AY1" s="174" t="s">
        <v>112</v>
      </c>
      <c r="AZ1" s="156" t="s">
        <v>73</v>
      </c>
      <c r="BA1" s="156" t="s">
        <v>74</v>
      </c>
      <c r="BB1" s="156" t="s">
        <v>115</v>
      </c>
      <c r="BC1" s="156" t="s">
        <v>113</v>
      </c>
      <c r="BD1" s="157" t="s">
        <v>114</v>
      </c>
    </row>
    <row r="2" spans="1:61" ht="15" thickBot="1" x14ac:dyDescent="0.35">
      <c r="A2" s="123">
        <v>45992</v>
      </c>
      <c r="B2" s="203">
        <f>DAY(Tabla2[[#This Row],[FECHA]])</f>
        <v>1</v>
      </c>
      <c r="C2" s="124" t="s">
        <v>28</v>
      </c>
      <c r="D2" s="125"/>
      <c r="E2" s="126"/>
      <c r="F2" s="127"/>
      <c r="G2" s="127"/>
      <c r="H2" s="126"/>
      <c r="I2" s="290">
        <f>Tabla2[[#This Row],[VOLUMEN ENVIADO A RO (m3)]]/Tabla2[[#This Row],[Q DE OPERACIÓN (m3/h)]]</f>
        <v>0</v>
      </c>
      <c r="J2" s="273">
        <v>0</v>
      </c>
      <c r="K2" s="273">
        <v>52</v>
      </c>
      <c r="L2" s="275">
        <v>32</v>
      </c>
      <c r="M2" s="274">
        <v>0</v>
      </c>
      <c r="N2" s="275">
        <v>0</v>
      </c>
      <c r="O2" s="181">
        <v>0</v>
      </c>
      <c r="P2" s="182">
        <v>456.14035087719299</v>
      </c>
      <c r="Q2" s="182">
        <v>280.70175438596493</v>
      </c>
      <c r="R2" s="182">
        <v>0</v>
      </c>
      <c r="S2" s="183">
        <v>0</v>
      </c>
      <c r="T2" s="184">
        <v>0</v>
      </c>
      <c r="U2" s="185">
        <v>0</v>
      </c>
      <c r="V2" s="185">
        <v>0</v>
      </c>
      <c r="W2" s="185">
        <v>0</v>
      </c>
      <c r="X2" s="186">
        <v>0</v>
      </c>
      <c r="Y2" s="187">
        <v>1.18</v>
      </c>
      <c r="Z2" s="187">
        <v>1.28</v>
      </c>
      <c r="AA2" s="187">
        <v>1.2</v>
      </c>
      <c r="AB2" s="187">
        <v>1.53</v>
      </c>
      <c r="AC2" s="187">
        <v>1.2</v>
      </c>
      <c r="AD2" s="184">
        <v>0</v>
      </c>
      <c r="AE2" s="185">
        <v>0</v>
      </c>
      <c r="AF2" s="185">
        <v>0</v>
      </c>
      <c r="AG2" s="185">
        <v>0</v>
      </c>
      <c r="AH2" s="186">
        <v>0</v>
      </c>
      <c r="AI2" s="401">
        <v>0</v>
      </c>
      <c r="AJ2" s="310">
        <v>55</v>
      </c>
      <c r="AK2" s="128" t="e">
        <f t="shared" ref="AK2:AO2" si="0">(AD2*1000)/$AI2</f>
        <v>#DIV/0!</v>
      </c>
      <c r="AL2" s="129" t="e">
        <f t="shared" si="0"/>
        <v>#DIV/0!</v>
      </c>
      <c r="AM2" s="129" t="e">
        <f t="shared" si="0"/>
        <v>#DIV/0!</v>
      </c>
      <c r="AN2" s="129" t="e">
        <f t="shared" si="0"/>
        <v>#DIV/0!</v>
      </c>
      <c r="AO2" s="130" t="e">
        <f t="shared" si="0"/>
        <v>#DIV/0!</v>
      </c>
      <c r="AP2" s="104">
        <v>1550</v>
      </c>
      <c r="AQ2" s="105">
        <v>19462</v>
      </c>
      <c r="AR2" s="105">
        <v>36854</v>
      </c>
      <c r="AS2" s="105">
        <v>1560</v>
      </c>
      <c r="AT2" s="106">
        <v>3640</v>
      </c>
      <c r="AU2" s="104">
        <f t="shared" ref="AU2:AU65" si="1">AP2*(AE2*0.8)</f>
        <v>0</v>
      </c>
      <c r="AV2" s="105">
        <f>AQ2*(AF2*0.012)</f>
        <v>0</v>
      </c>
      <c r="AW2" s="105">
        <f>AR2*(AG2*0.044)</f>
        <v>0</v>
      </c>
      <c r="AX2" s="105">
        <f t="shared" ref="AX2:AX65" si="2">AS2*AH2</f>
        <v>0</v>
      </c>
      <c r="AY2" s="106">
        <f t="shared" ref="AY2:AY65" si="3">AT2*(AI2*0.025)</f>
        <v>0</v>
      </c>
      <c r="AZ2" s="104">
        <f t="shared" ref="AZ2:AZ33" si="4">AU2+AV2+AW2+AX2+AY2</f>
        <v>0</v>
      </c>
      <c r="BA2" s="105">
        <v>1000</v>
      </c>
      <c r="BB2" s="105" t="e">
        <f>$AZ2/AI2</f>
        <v>#DIV/0!</v>
      </c>
      <c r="BC2" s="102" t="e">
        <f>$AZ2/#REF!</f>
        <v>#REF!</v>
      </c>
      <c r="BD2" s="103" t="e">
        <f>$AZ2/#REF!</f>
        <v>#REF!</v>
      </c>
    </row>
    <row r="3" spans="1:61" ht="15" thickBot="1" x14ac:dyDescent="0.35">
      <c r="A3" s="131">
        <f>+A2</f>
        <v>45992</v>
      </c>
      <c r="B3" s="204">
        <f>DAY(Tabla2[[#This Row],[FECHA]])</f>
        <v>1</v>
      </c>
      <c r="C3" s="132" t="s">
        <v>29</v>
      </c>
      <c r="D3" s="133"/>
      <c r="E3" s="134"/>
      <c r="F3" s="135"/>
      <c r="G3" s="135"/>
      <c r="H3" s="134"/>
      <c r="I3" s="290">
        <f>Tabla2[[#This Row],[VOLUMEN ENVIADO A RO (m3)]]/Tabla2[[#This Row],[Q DE OPERACIÓN (m3/h)]]</f>
        <v>0</v>
      </c>
      <c r="J3" s="273">
        <v>0</v>
      </c>
      <c r="K3" s="277">
        <v>52</v>
      </c>
      <c r="L3" s="278">
        <v>32</v>
      </c>
      <c r="M3" s="277">
        <v>0</v>
      </c>
      <c r="N3" s="278">
        <v>0</v>
      </c>
      <c r="O3" s="188">
        <v>0</v>
      </c>
      <c r="P3" s="189">
        <v>456.14035087719299</v>
      </c>
      <c r="Q3" s="189">
        <v>280.70175438596493</v>
      </c>
      <c r="R3" s="189">
        <v>0</v>
      </c>
      <c r="S3" s="190">
        <v>0</v>
      </c>
      <c r="T3" s="184">
        <v>0</v>
      </c>
      <c r="U3" s="185">
        <v>0</v>
      </c>
      <c r="V3" s="185">
        <v>0</v>
      </c>
      <c r="W3" s="185">
        <v>0</v>
      </c>
      <c r="X3" s="186">
        <v>0</v>
      </c>
      <c r="Y3" s="191">
        <v>1.18</v>
      </c>
      <c r="Z3" s="191">
        <v>1.28</v>
      </c>
      <c r="AA3" s="191">
        <v>1.2</v>
      </c>
      <c r="AB3" s="191">
        <v>1.53</v>
      </c>
      <c r="AC3" s="191">
        <v>1.2</v>
      </c>
      <c r="AD3" s="184">
        <v>0</v>
      </c>
      <c r="AE3" s="185">
        <v>0</v>
      </c>
      <c r="AF3" s="185">
        <v>0</v>
      </c>
      <c r="AG3" s="185">
        <v>0</v>
      </c>
      <c r="AH3" s="186">
        <v>0</v>
      </c>
      <c r="AI3" s="402">
        <v>0</v>
      </c>
      <c r="AJ3" s="310">
        <v>55</v>
      </c>
      <c r="AK3" s="128" t="e">
        <f t="shared" ref="AK3:AK66" si="5">(AD3*1000)/$AI3</f>
        <v>#DIV/0!</v>
      </c>
      <c r="AL3" s="129" t="e">
        <f t="shared" ref="AL3:AL66" si="6">(AE3*1000)/$AI3</f>
        <v>#DIV/0!</v>
      </c>
      <c r="AM3" s="129" t="e">
        <f t="shared" ref="AM3:AM66" si="7">(AF3*1000)/$AI3</f>
        <v>#DIV/0!</v>
      </c>
      <c r="AN3" s="129" t="e">
        <f t="shared" ref="AN3:AN66" si="8">(AG3*1000)/$AI3</f>
        <v>#DIV/0!</v>
      </c>
      <c r="AO3" s="130" t="e">
        <f t="shared" ref="AO3:AO66" si="9">(AH3*1000)/$AI3</f>
        <v>#DIV/0!</v>
      </c>
      <c r="AP3" s="104">
        <f t="shared" ref="AP3:AT18" si="10">AP2</f>
        <v>1550</v>
      </c>
      <c r="AQ3" s="105">
        <f t="shared" si="10"/>
        <v>19462</v>
      </c>
      <c r="AR3" s="105">
        <f t="shared" si="10"/>
        <v>36854</v>
      </c>
      <c r="AS3" s="105">
        <f t="shared" si="10"/>
        <v>1560</v>
      </c>
      <c r="AT3" s="106">
        <f t="shared" si="10"/>
        <v>3640</v>
      </c>
      <c r="AU3" s="104">
        <f t="shared" si="1"/>
        <v>0</v>
      </c>
      <c r="AV3" s="105">
        <f t="shared" ref="AV3:AV66" si="11">AQ3*(AF3*0.012)</f>
        <v>0</v>
      </c>
      <c r="AW3" s="105">
        <f t="shared" ref="AW3:AW66" si="12">AR3*(AG3*0.044)</f>
        <v>0</v>
      </c>
      <c r="AX3" s="105">
        <f t="shared" si="2"/>
        <v>0</v>
      </c>
      <c r="AY3" s="106">
        <f t="shared" si="3"/>
        <v>0</v>
      </c>
      <c r="AZ3" s="104">
        <f t="shared" si="4"/>
        <v>0</v>
      </c>
      <c r="BA3" s="105">
        <v>1000</v>
      </c>
      <c r="BB3" s="105" t="e">
        <f>AZ3/AI3</f>
        <v>#DIV/0!</v>
      </c>
      <c r="BC3" s="102" t="e">
        <f>$AZ3/#REF!</f>
        <v>#REF!</v>
      </c>
      <c r="BD3" s="103" t="e">
        <f>$AZ3/#REF!</f>
        <v>#REF!</v>
      </c>
    </row>
    <row r="4" spans="1:61" ht="15" thickBot="1" x14ac:dyDescent="0.35">
      <c r="A4" s="136">
        <f>+A3</f>
        <v>45992</v>
      </c>
      <c r="B4" s="205">
        <f>DAY(Tabla2[[#This Row],[FECHA]])</f>
        <v>1</v>
      </c>
      <c r="C4" s="137" t="s">
        <v>30</v>
      </c>
      <c r="D4" s="138"/>
      <c r="E4" s="139"/>
      <c r="F4" s="140"/>
      <c r="G4" s="141"/>
      <c r="H4" s="142"/>
      <c r="I4" s="290">
        <f>Tabla2[[#This Row],[VOLUMEN ENVIADO A RO (m3)]]/Tabla2[[#This Row],[Q DE OPERACIÓN (m3/h)]]</f>
        <v>0</v>
      </c>
      <c r="J4" s="273">
        <v>0</v>
      </c>
      <c r="K4" s="280">
        <v>52</v>
      </c>
      <c r="L4" s="281">
        <v>32</v>
      </c>
      <c r="M4" s="280">
        <v>0</v>
      </c>
      <c r="N4" s="281">
        <v>0</v>
      </c>
      <c r="O4" s="192">
        <v>0</v>
      </c>
      <c r="P4" s="193">
        <v>456.14035087719299</v>
      </c>
      <c r="Q4" s="193">
        <v>280.70175438596493</v>
      </c>
      <c r="R4" s="193">
        <v>0</v>
      </c>
      <c r="S4" s="194">
        <v>0</v>
      </c>
      <c r="T4" s="184">
        <v>0</v>
      </c>
      <c r="U4" s="185">
        <v>0</v>
      </c>
      <c r="V4" s="185">
        <v>0</v>
      </c>
      <c r="W4" s="185">
        <v>0</v>
      </c>
      <c r="X4" s="186">
        <v>0</v>
      </c>
      <c r="Y4" s="191">
        <v>1.18</v>
      </c>
      <c r="Z4" s="191">
        <v>1.28</v>
      </c>
      <c r="AA4" s="191">
        <v>1.2</v>
      </c>
      <c r="AB4" s="191">
        <v>1.53</v>
      </c>
      <c r="AC4" s="191">
        <v>1.2</v>
      </c>
      <c r="AD4" s="195">
        <v>0</v>
      </c>
      <c r="AE4" s="196">
        <v>0</v>
      </c>
      <c r="AF4" s="196">
        <v>0</v>
      </c>
      <c r="AG4" s="196">
        <v>0</v>
      </c>
      <c r="AH4" s="197">
        <v>0</v>
      </c>
      <c r="AI4" s="403">
        <v>0</v>
      </c>
      <c r="AJ4" s="310">
        <v>55</v>
      </c>
      <c r="AK4" s="128" t="e">
        <f t="shared" si="5"/>
        <v>#DIV/0!</v>
      </c>
      <c r="AL4" s="129" t="e">
        <f t="shared" si="6"/>
        <v>#DIV/0!</v>
      </c>
      <c r="AM4" s="129" t="e">
        <f t="shared" si="7"/>
        <v>#DIV/0!</v>
      </c>
      <c r="AN4" s="129" t="e">
        <f t="shared" si="8"/>
        <v>#DIV/0!</v>
      </c>
      <c r="AO4" s="130" t="e">
        <f t="shared" si="9"/>
        <v>#DIV/0!</v>
      </c>
      <c r="AP4" s="104">
        <f t="shared" si="10"/>
        <v>1550</v>
      </c>
      <c r="AQ4" s="105">
        <f t="shared" si="10"/>
        <v>19462</v>
      </c>
      <c r="AR4" s="105">
        <f t="shared" si="10"/>
        <v>36854</v>
      </c>
      <c r="AS4" s="105">
        <f t="shared" si="10"/>
        <v>1560</v>
      </c>
      <c r="AT4" s="106">
        <f t="shared" si="10"/>
        <v>3640</v>
      </c>
      <c r="AU4" s="107">
        <f t="shared" si="1"/>
        <v>0</v>
      </c>
      <c r="AV4" s="108">
        <f t="shared" si="11"/>
        <v>0</v>
      </c>
      <c r="AW4" s="108">
        <f t="shared" si="12"/>
        <v>0</v>
      </c>
      <c r="AX4" s="108">
        <f t="shared" si="2"/>
        <v>0</v>
      </c>
      <c r="AY4" s="109">
        <f t="shared" si="3"/>
        <v>0</v>
      </c>
      <c r="AZ4" s="107">
        <f t="shared" si="4"/>
        <v>0</v>
      </c>
      <c r="BA4" s="108">
        <v>1000</v>
      </c>
      <c r="BB4" s="108" t="e">
        <f>AZ4/AI4</f>
        <v>#DIV/0!</v>
      </c>
      <c r="BC4" s="98"/>
      <c r="BD4" s="101"/>
      <c r="BF4" s="307"/>
      <c r="BH4" s="308"/>
      <c r="BI4" s="307"/>
    </row>
    <row r="5" spans="1:61" ht="15" thickBot="1" x14ac:dyDescent="0.35">
      <c r="A5" s="143">
        <f>+A4+1</f>
        <v>45993</v>
      </c>
      <c r="B5" s="96">
        <f>DAY(Tabla2[[#This Row],[FECHA]])</f>
        <v>2</v>
      </c>
      <c r="C5" s="124" t="s">
        <v>28</v>
      </c>
      <c r="D5" s="144"/>
      <c r="E5" s="145"/>
      <c r="F5" s="146"/>
      <c r="G5" s="146"/>
      <c r="H5" s="145"/>
      <c r="I5" s="290">
        <f>Tabla2[[#This Row],[VOLUMEN ENVIADO A RO (m3)]]/Tabla2[[#This Row],[Q DE OPERACIÓN (m3/h)]]</f>
        <v>0</v>
      </c>
      <c r="J5" s="273">
        <v>0</v>
      </c>
      <c r="K5" s="274">
        <v>52</v>
      </c>
      <c r="L5" s="275">
        <v>32</v>
      </c>
      <c r="M5" s="274">
        <v>0</v>
      </c>
      <c r="N5" s="275">
        <v>0</v>
      </c>
      <c r="O5" s="198">
        <v>0</v>
      </c>
      <c r="P5" s="199">
        <v>456.14035087719299</v>
      </c>
      <c r="Q5" s="182">
        <v>280.70175438596493</v>
      </c>
      <c r="R5" s="199">
        <v>0</v>
      </c>
      <c r="S5" s="199">
        <v>0</v>
      </c>
      <c r="T5" s="184">
        <v>0</v>
      </c>
      <c r="U5" s="185">
        <v>0</v>
      </c>
      <c r="V5" s="185">
        <v>0</v>
      </c>
      <c r="W5" s="185">
        <v>0</v>
      </c>
      <c r="X5" s="186">
        <v>0</v>
      </c>
      <c r="Y5" s="191">
        <v>1.18</v>
      </c>
      <c r="Z5" s="191">
        <v>1.28</v>
      </c>
      <c r="AA5" s="191">
        <v>1.2</v>
      </c>
      <c r="AB5" s="191">
        <v>1.53</v>
      </c>
      <c r="AC5" s="191">
        <v>1.2</v>
      </c>
      <c r="AD5" s="200">
        <v>0</v>
      </c>
      <c r="AE5" s="201">
        <v>0</v>
      </c>
      <c r="AF5" s="201">
        <v>0</v>
      </c>
      <c r="AG5" s="201">
        <v>0</v>
      </c>
      <c r="AH5" s="202">
        <v>0</v>
      </c>
      <c r="AI5" s="401">
        <v>0</v>
      </c>
      <c r="AJ5" s="310">
        <v>55</v>
      </c>
      <c r="AK5" s="128" t="e">
        <f t="shared" si="5"/>
        <v>#DIV/0!</v>
      </c>
      <c r="AL5" s="129" t="e">
        <f t="shared" si="6"/>
        <v>#DIV/0!</v>
      </c>
      <c r="AM5" s="129" t="e">
        <f t="shared" si="7"/>
        <v>#DIV/0!</v>
      </c>
      <c r="AN5" s="129" t="e">
        <f t="shared" si="8"/>
        <v>#DIV/0!</v>
      </c>
      <c r="AO5" s="130" t="e">
        <f t="shared" si="9"/>
        <v>#DIV/0!</v>
      </c>
      <c r="AP5" s="104">
        <f t="shared" si="10"/>
        <v>1550</v>
      </c>
      <c r="AQ5" s="105">
        <f t="shared" si="10"/>
        <v>19462</v>
      </c>
      <c r="AR5" s="105">
        <f t="shared" si="10"/>
        <v>36854</v>
      </c>
      <c r="AS5" s="105">
        <f t="shared" si="10"/>
        <v>1560</v>
      </c>
      <c r="AT5" s="106">
        <f t="shared" si="10"/>
        <v>3640</v>
      </c>
      <c r="AU5" s="104">
        <f t="shared" si="1"/>
        <v>0</v>
      </c>
      <c r="AV5" s="105">
        <f t="shared" si="11"/>
        <v>0</v>
      </c>
      <c r="AW5" s="105">
        <f t="shared" si="12"/>
        <v>0</v>
      </c>
      <c r="AX5" s="105">
        <f t="shared" si="2"/>
        <v>0</v>
      </c>
      <c r="AY5" s="106">
        <f t="shared" si="3"/>
        <v>0</v>
      </c>
      <c r="AZ5" s="104">
        <f t="shared" si="4"/>
        <v>0</v>
      </c>
      <c r="BA5" s="105">
        <v>1000</v>
      </c>
      <c r="BB5" s="105" t="e">
        <f>AZ5/AI5</f>
        <v>#DIV/0!</v>
      </c>
      <c r="BC5" s="99"/>
      <c r="BD5" s="100"/>
      <c r="BF5" s="307"/>
      <c r="BH5" s="308"/>
      <c r="BI5" s="307"/>
    </row>
    <row r="6" spans="1:61" ht="15" thickBot="1" x14ac:dyDescent="0.35">
      <c r="A6" s="147">
        <f>+A5</f>
        <v>45993</v>
      </c>
      <c r="B6" s="206">
        <f>DAY(Tabla2[[#This Row],[FECHA]])</f>
        <v>2</v>
      </c>
      <c r="C6" s="132" t="s">
        <v>29</v>
      </c>
      <c r="D6" s="133"/>
      <c r="E6" s="134"/>
      <c r="F6" s="135"/>
      <c r="G6" s="135"/>
      <c r="H6" s="134"/>
      <c r="I6" s="290">
        <f>Tabla2[[#This Row],[VOLUMEN ENVIADO A RO (m3)]]/Tabla2[[#This Row],[Q DE OPERACIÓN (m3/h)]]</f>
        <v>4.680890909090909</v>
      </c>
      <c r="J6" s="273">
        <v>0</v>
      </c>
      <c r="K6" s="277">
        <v>52</v>
      </c>
      <c r="L6" s="278">
        <v>32</v>
      </c>
      <c r="M6" s="277">
        <v>0</v>
      </c>
      <c r="N6" s="278">
        <v>0</v>
      </c>
      <c r="O6" s="188">
        <v>0</v>
      </c>
      <c r="P6" s="189">
        <v>456.14035087719299</v>
      </c>
      <c r="Q6" s="189">
        <v>280.70175438596493</v>
      </c>
      <c r="R6" s="189">
        <v>0</v>
      </c>
      <c r="S6" s="189">
        <v>0</v>
      </c>
      <c r="T6" s="184">
        <v>0</v>
      </c>
      <c r="U6" s="185">
        <v>0</v>
      </c>
      <c r="V6" s="185">
        <v>0</v>
      </c>
      <c r="W6" s="185">
        <v>0</v>
      </c>
      <c r="X6" s="186">
        <v>0</v>
      </c>
      <c r="Y6" s="191">
        <v>1.18</v>
      </c>
      <c r="Z6" s="191">
        <v>1.28</v>
      </c>
      <c r="AA6" s="191">
        <v>1.2</v>
      </c>
      <c r="AB6" s="191">
        <v>1.53</v>
      </c>
      <c r="AC6" s="191">
        <v>1.2</v>
      </c>
      <c r="AD6" s="184">
        <v>0</v>
      </c>
      <c r="AE6" s="185">
        <v>0</v>
      </c>
      <c r="AF6" s="185">
        <v>0</v>
      </c>
      <c r="AG6" s="185">
        <v>0</v>
      </c>
      <c r="AH6" s="186">
        <v>0</v>
      </c>
      <c r="AI6" s="402">
        <v>257.44900000000001</v>
      </c>
      <c r="AJ6" s="310">
        <v>55</v>
      </c>
      <c r="AK6" s="128">
        <f t="shared" si="5"/>
        <v>0</v>
      </c>
      <c r="AL6" s="129">
        <f t="shared" si="6"/>
        <v>0</v>
      </c>
      <c r="AM6" s="129">
        <f t="shared" si="7"/>
        <v>0</v>
      </c>
      <c r="AN6" s="129">
        <f t="shared" si="8"/>
        <v>0</v>
      </c>
      <c r="AO6" s="130">
        <f t="shared" si="9"/>
        <v>0</v>
      </c>
      <c r="AP6" s="104">
        <f t="shared" si="10"/>
        <v>1550</v>
      </c>
      <c r="AQ6" s="105">
        <f t="shared" si="10"/>
        <v>19462</v>
      </c>
      <c r="AR6" s="105">
        <f t="shared" si="10"/>
        <v>36854</v>
      </c>
      <c r="AS6" s="105">
        <f t="shared" si="10"/>
        <v>1560</v>
      </c>
      <c r="AT6" s="106">
        <f t="shared" si="10"/>
        <v>3640</v>
      </c>
      <c r="AU6" s="104">
        <f t="shared" si="1"/>
        <v>0</v>
      </c>
      <c r="AV6" s="105">
        <f t="shared" si="11"/>
        <v>0</v>
      </c>
      <c r="AW6" s="105">
        <f t="shared" si="12"/>
        <v>0</v>
      </c>
      <c r="AX6" s="105">
        <f t="shared" si="2"/>
        <v>0</v>
      </c>
      <c r="AY6" s="106">
        <f t="shared" si="3"/>
        <v>23427.859</v>
      </c>
      <c r="AZ6" s="104">
        <f t="shared" si="4"/>
        <v>23427.859</v>
      </c>
      <c r="BA6" s="105">
        <v>1000</v>
      </c>
      <c r="BB6" s="105">
        <f>AZ6/AI6</f>
        <v>91</v>
      </c>
      <c r="BC6" s="99"/>
      <c r="BD6" s="100"/>
      <c r="BF6" s="307"/>
      <c r="BH6" s="308"/>
      <c r="BI6" s="307"/>
    </row>
    <row r="7" spans="1:61" ht="15" thickBot="1" x14ac:dyDescent="0.35">
      <c r="A7" s="148">
        <f>+A6</f>
        <v>45993</v>
      </c>
      <c r="B7" s="207">
        <f>DAY(Tabla2[[#This Row],[FECHA]])</f>
        <v>2</v>
      </c>
      <c r="C7" s="137" t="s">
        <v>30</v>
      </c>
      <c r="D7" s="138"/>
      <c r="E7" s="139"/>
      <c r="F7" s="140"/>
      <c r="G7" s="141"/>
      <c r="H7" s="142"/>
      <c r="I7" s="290">
        <f>Tabla2[[#This Row],[VOLUMEN ENVIADO A RO (m3)]]/Tabla2[[#This Row],[Q DE OPERACIÓN (m3/h)]]</f>
        <v>0</v>
      </c>
      <c r="J7" s="273">
        <v>0</v>
      </c>
      <c r="K7" s="280">
        <v>52</v>
      </c>
      <c r="L7" s="281">
        <v>32</v>
      </c>
      <c r="M7" s="280">
        <v>0</v>
      </c>
      <c r="N7" s="281">
        <v>0</v>
      </c>
      <c r="O7" s="192">
        <v>0</v>
      </c>
      <c r="P7" s="193">
        <v>456.14035087719299</v>
      </c>
      <c r="Q7" s="193">
        <v>280.70175438596493</v>
      </c>
      <c r="R7" s="193">
        <v>0</v>
      </c>
      <c r="S7" s="193">
        <v>0</v>
      </c>
      <c r="T7" s="184">
        <v>0</v>
      </c>
      <c r="U7" s="185">
        <v>0</v>
      </c>
      <c r="V7" s="185">
        <v>0</v>
      </c>
      <c r="W7" s="185">
        <v>0</v>
      </c>
      <c r="X7" s="186">
        <v>0</v>
      </c>
      <c r="Y7" s="191">
        <v>1.18</v>
      </c>
      <c r="Z7" s="191">
        <v>1.28</v>
      </c>
      <c r="AA7" s="191">
        <v>1.2</v>
      </c>
      <c r="AB7" s="191">
        <v>1.53</v>
      </c>
      <c r="AC7" s="191">
        <v>1.2</v>
      </c>
      <c r="AD7" s="195">
        <v>0</v>
      </c>
      <c r="AE7" s="196">
        <v>0</v>
      </c>
      <c r="AF7" s="196">
        <v>0</v>
      </c>
      <c r="AG7" s="196">
        <v>0</v>
      </c>
      <c r="AH7" s="197">
        <v>0</v>
      </c>
      <c r="AI7" s="403">
        <v>0</v>
      </c>
      <c r="AJ7" s="310">
        <v>55</v>
      </c>
      <c r="AK7" s="128" t="e">
        <f t="shared" si="5"/>
        <v>#DIV/0!</v>
      </c>
      <c r="AL7" s="129" t="e">
        <f t="shared" si="6"/>
        <v>#DIV/0!</v>
      </c>
      <c r="AM7" s="129" t="e">
        <f t="shared" si="7"/>
        <v>#DIV/0!</v>
      </c>
      <c r="AN7" s="129" t="e">
        <f t="shared" si="8"/>
        <v>#DIV/0!</v>
      </c>
      <c r="AO7" s="130" t="e">
        <f t="shared" si="9"/>
        <v>#DIV/0!</v>
      </c>
      <c r="AP7" s="104">
        <f t="shared" si="10"/>
        <v>1550</v>
      </c>
      <c r="AQ7" s="105">
        <f t="shared" si="10"/>
        <v>19462</v>
      </c>
      <c r="AR7" s="105">
        <f t="shared" si="10"/>
        <v>36854</v>
      </c>
      <c r="AS7" s="105">
        <f t="shared" si="10"/>
        <v>1560</v>
      </c>
      <c r="AT7" s="106">
        <f t="shared" si="10"/>
        <v>3640</v>
      </c>
      <c r="AU7" s="107">
        <f t="shared" si="1"/>
        <v>0</v>
      </c>
      <c r="AV7" s="108">
        <f t="shared" si="11"/>
        <v>0</v>
      </c>
      <c r="AW7" s="108">
        <f t="shared" si="12"/>
        <v>0</v>
      </c>
      <c r="AX7" s="108">
        <f t="shared" si="2"/>
        <v>0</v>
      </c>
      <c r="AY7" s="109">
        <f t="shared" si="3"/>
        <v>0</v>
      </c>
      <c r="AZ7" s="107">
        <f t="shared" si="4"/>
        <v>0</v>
      </c>
      <c r="BA7" s="108">
        <v>1000</v>
      </c>
      <c r="BB7" s="108" t="e">
        <f>AZ7/AI9</f>
        <v>#DIV/0!</v>
      </c>
      <c r="BC7" s="98"/>
      <c r="BD7" s="101"/>
      <c r="BF7" s="307"/>
      <c r="BH7" s="308"/>
      <c r="BI7" s="307"/>
    </row>
    <row r="8" spans="1:61" ht="15" thickBot="1" x14ac:dyDescent="0.35">
      <c r="A8" s="143">
        <f>+A7+1</f>
        <v>45994</v>
      </c>
      <c r="B8" s="96">
        <f>DAY(Tabla2[[#This Row],[FECHA]])</f>
        <v>3</v>
      </c>
      <c r="C8" s="124" t="s">
        <v>28</v>
      </c>
      <c r="D8" s="144"/>
      <c r="E8" s="145"/>
      <c r="F8" s="146"/>
      <c r="G8" s="146"/>
      <c r="H8" s="145"/>
      <c r="I8" s="290">
        <f>Tabla2[[#This Row],[VOLUMEN ENVIADO A RO (m3)]]/Tabla2[[#This Row],[Q DE OPERACIÓN (m3/h)]]</f>
        <v>0</v>
      </c>
      <c r="J8" s="273">
        <v>0</v>
      </c>
      <c r="K8" s="274">
        <v>52</v>
      </c>
      <c r="L8" s="275">
        <v>32</v>
      </c>
      <c r="M8" s="274">
        <v>0</v>
      </c>
      <c r="N8" s="275">
        <v>0</v>
      </c>
      <c r="O8" s="198">
        <v>0</v>
      </c>
      <c r="P8" s="199">
        <v>456.14035087719299</v>
      </c>
      <c r="Q8" s="182">
        <v>280.70175438596493</v>
      </c>
      <c r="R8" s="199">
        <v>0</v>
      </c>
      <c r="S8" s="199">
        <v>0</v>
      </c>
      <c r="T8" s="184">
        <v>0</v>
      </c>
      <c r="U8" s="185">
        <v>0</v>
      </c>
      <c r="V8" s="185">
        <v>0</v>
      </c>
      <c r="W8" s="185">
        <v>0</v>
      </c>
      <c r="X8" s="186">
        <v>0</v>
      </c>
      <c r="Y8" s="191">
        <v>1.18</v>
      </c>
      <c r="Z8" s="191">
        <v>1.28</v>
      </c>
      <c r="AA8" s="191">
        <v>1.2</v>
      </c>
      <c r="AB8" s="191">
        <v>1.53</v>
      </c>
      <c r="AC8" s="191">
        <v>1.2</v>
      </c>
      <c r="AD8" s="200">
        <v>0</v>
      </c>
      <c r="AE8" s="201">
        <v>0</v>
      </c>
      <c r="AF8" s="201">
        <v>0</v>
      </c>
      <c r="AG8" s="201">
        <v>0</v>
      </c>
      <c r="AH8" s="202">
        <v>0</v>
      </c>
      <c r="AI8" s="401">
        <v>0</v>
      </c>
      <c r="AJ8" s="310">
        <v>55</v>
      </c>
      <c r="AK8" s="128" t="e">
        <f t="shared" si="5"/>
        <v>#DIV/0!</v>
      </c>
      <c r="AL8" s="129" t="e">
        <f t="shared" si="6"/>
        <v>#DIV/0!</v>
      </c>
      <c r="AM8" s="129" t="e">
        <f t="shared" si="7"/>
        <v>#DIV/0!</v>
      </c>
      <c r="AN8" s="129" t="e">
        <f t="shared" si="8"/>
        <v>#DIV/0!</v>
      </c>
      <c r="AO8" s="130" t="e">
        <f t="shared" si="9"/>
        <v>#DIV/0!</v>
      </c>
      <c r="AP8" s="104">
        <f t="shared" si="10"/>
        <v>1550</v>
      </c>
      <c r="AQ8" s="105">
        <f t="shared" si="10"/>
        <v>19462</v>
      </c>
      <c r="AR8" s="105">
        <f t="shared" si="10"/>
        <v>36854</v>
      </c>
      <c r="AS8" s="105">
        <f t="shared" si="10"/>
        <v>1560</v>
      </c>
      <c r="AT8" s="106">
        <f t="shared" si="10"/>
        <v>3640</v>
      </c>
      <c r="AU8" s="104">
        <f t="shared" si="1"/>
        <v>0</v>
      </c>
      <c r="AV8" s="105">
        <f t="shared" si="11"/>
        <v>0</v>
      </c>
      <c r="AW8" s="105">
        <f t="shared" si="12"/>
        <v>0</v>
      </c>
      <c r="AX8" s="105">
        <f t="shared" si="2"/>
        <v>0</v>
      </c>
      <c r="AY8" s="106">
        <f t="shared" si="3"/>
        <v>0</v>
      </c>
      <c r="AZ8" s="104">
        <f t="shared" si="4"/>
        <v>0</v>
      </c>
      <c r="BA8" s="105">
        <v>1000</v>
      </c>
      <c r="BB8" s="105" t="e">
        <f>AZ8/AI12</f>
        <v>#DIV/0!</v>
      </c>
      <c r="BC8" s="99"/>
      <c r="BD8" s="100"/>
      <c r="BF8" s="307"/>
      <c r="BH8" s="308"/>
      <c r="BI8" s="307"/>
    </row>
    <row r="9" spans="1:61" ht="15" thickBot="1" x14ac:dyDescent="0.35">
      <c r="A9" s="147">
        <f>+A8</f>
        <v>45994</v>
      </c>
      <c r="B9" s="206">
        <f>DAY(Tabla2[[#This Row],[FECHA]])</f>
        <v>3</v>
      </c>
      <c r="C9" s="132" t="s">
        <v>29</v>
      </c>
      <c r="D9" s="133"/>
      <c r="E9" s="134"/>
      <c r="F9" s="135"/>
      <c r="G9" s="135"/>
      <c r="H9" s="134"/>
      <c r="I9" s="290">
        <f>Tabla2[[#This Row],[VOLUMEN ENVIADO A RO (m3)]]/Tabla2[[#This Row],[Q DE OPERACIÓN (m3/h)]]</f>
        <v>0</v>
      </c>
      <c r="J9" s="273">
        <v>0</v>
      </c>
      <c r="K9" s="277">
        <v>52</v>
      </c>
      <c r="L9" s="278">
        <v>32</v>
      </c>
      <c r="M9" s="277">
        <v>0</v>
      </c>
      <c r="N9" s="278">
        <v>0</v>
      </c>
      <c r="O9" s="188">
        <v>0</v>
      </c>
      <c r="P9" s="189">
        <v>456.14035087719299</v>
      </c>
      <c r="Q9" s="189">
        <v>280.70175438596493</v>
      </c>
      <c r="R9" s="189">
        <v>0</v>
      </c>
      <c r="S9" s="189">
        <v>0</v>
      </c>
      <c r="T9" s="184">
        <v>0</v>
      </c>
      <c r="U9" s="185">
        <v>0</v>
      </c>
      <c r="V9" s="185">
        <v>0</v>
      </c>
      <c r="W9" s="185">
        <v>0</v>
      </c>
      <c r="X9" s="186">
        <v>0</v>
      </c>
      <c r="Y9" s="191">
        <v>1.18</v>
      </c>
      <c r="Z9" s="191">
        <v>1.28</v>
      </c>
      <c r="AA9" s="191">
        <v>1.2</v>
      </c>
      <c r="AB9" s="191">
        <v>1.53</v>
      </c>
      <c r="AC9" s="191">
        <v>1.2</v>
      </c>
      <c r="AD9" s="184">
        <v>0</v>
      </c>
      <c r="AE9" s="185">
        <v>0</v>
      </c>
      <c r="AF9" s="185">
        <v>0</v>
      </c>
      <c r="AG9" s="185">
        <v>0</v>
      </c>
      <c r="AH9" s="186">
        <v>0</v>
      </c>
      <c r="AI9" s="402">
        <v>0</v>
      </c>
      <c r="AJ9" s="310">
        <v>55</v>
      </c>
      <c r="AK9" s="128" t="e">
        <f t="shared" si="5"/>
        <v>#DIV/0!</v>
      </c>
      <c r="AL9" s="129" t="e">
        <f t="shared" si="6"/>
        <v>#DIV/0!</v>
      </c>
      <c r="AM9" s="129" t="e">
        <f t="shared" si="7"/>
        <v>#DIV/0!</v>
      </c>
      <c r="AN9" s="129" t="e">
        <f t="shared" si="8"/>
        <v>#DIV/0!</v>
      </c>
      <c r="AO9" s="130" t="e">
        <f t="shared" si="9"/>
        <v>#DIV/0!</v>
      </c>
      <c r="AP9" s="104">
        <f t="shared" si="10"/>
        <v>1550</v>
      </c>
      <c r="AQ9" s="105">
        <f t="shared" si="10"/>
        <v>19462</v>
      </c>
      <c r="AR9" s="105">
        <f t="shared" si="10"/>
        <v>36854</v>
      </c>
      <c r="AS9" s="105">
        <f t="shared" si="10"/>
        <v>1560</v>
      </c>
      <c r="AT9" s="106">
        <f t="shared" si="10"/>
        <v>3640</v>
      </c>
      <c r="AU9" s="104">
        <f t="shared" si="1"/>
        <v>0</v>
      </c>
      <c r="AV9" s="105">
        <f t="shared" si="11"/>
        <v>0</v>
      </c>
      <c r="AW9" s="105">
        <f t="shared" si="12"/>
        <v>0</v>
      </c>
      <c r="AX9" s="105">
        <f t="shared" si="2"/>
        <v>0</v>
      </c>
      <c r="AY9" s="106">
        <f t="shared" si="3"/>
        <v>0</v>
      </c>
      <c r="AZ9" s="104">
        <f t="shared" si="4"/>
        <v>0</v>
      </c>
      <c r="BA9" s="105">
        <v>1000</v>
      </c>
      <c r="BB9" s="105" t="e">
        <f>AZ9/AI15</f>
        <v>#DIV/0!</v>
      </c>
      <c r="BC9" s="99"/>
      <c r="BD9" s="100"/>
      <c r="BF9" s="307"/>
      <c r="BH9" s="308"/>
      <c r="BI9" s="307"/>
    </row>
    <row r="10" spans="1:61" ht="15" thickBot="1" x14ac:dyDescent="0.35">
      <c r="A10" s="148">
        <f>+A9</f>
        <v>45994</v>
      </c>
      <c r="B10" s="207">
        <f>DAY(Tabla2[[#This Row],[FECHA]])</f>
        <v>3</v>
      </c>
      <c r="C10" s="137" t="s">
        <v>30</v>
      </c>
      <c r="D10" s="138"/>
      <c r="E10" s="139"/>
      <c r="F10" s="140"/>
      <c r="G10" s="141"/>
      <c r="H10" s="142"/>
      <c r="I10" s="290">
        <f>Tabla2[[#This Row],[VOLUMEN ENVIADO A RO (m3)]]/Tabla2[[#This Row],[Q DE OPERACIÓN (m3/h)]]</f>
        <v>0</v>
      </c>
      <c r="J10" s="273">
        <v>0</v>
      </c>
      <c r="K10" s="280">
        <v>52</v>
      </c>
      <c r="L10" s="281">
        <v>32</v>
      </c>
      <c r="M10" s="280">
        <v>0</v>
      </c>
      <c r="N10" s="281">
        <v>0</v>
      </c>
      <c r="O10" s="188">
        <v>0</v>
      </c>
      <c r="P10" s="193">
        <v>456.14035087719299</v>
      </c>
      <c r="Q10" s="193">
        <v>280.70175438596493</v>
      </c>
      <c r="R10" s="193">
        <v>0</v>
      </c>
      <c r="S10" s="193">
        <v>0</v>
      </c>
      <c r="T10" s="184">
        <v>0</v>
      </c>
      <c r="U10" s="185">
        <v>0</v>
      </c>
      <c r="V10" s="185">
        <v>0</v>
      </c>
      <c r="W10" s="185">
        <v>0</v>
      </c>
      <c r="X10" s="186">
        <v>0</v>
      </c>
      <c r="Y10" s="191">
        <v>1.18</v>
      </c>
      <c r="Z10" s="191">
        <v>1.28</v>
      </c>
      <c r="AA10" s="191">
        <v>1.2</v>
      </c>
      <c r="AB10" s="191">
        <v>1.53</v>
      </c>
      <c r="AC10" s="191">
        <v>1.2</v>
      </c>
      <c r="AD10" s="195">
        <v>0</v>
      </c>
      <c r="AE10" s="196">
        <v>0</v>
      </c>
      <c r="AF10" s="196">
        <v>0</v>
      </c>
      <c r="AG10" s="196">
        <v>0</v>
      </c>
      <c r="AH10" s="197">
        <v>0</v>
      </c>
      <c r="AI10" s="403">
        <v>0</v>
      </c>
      <c r="AJ10" s="310">
        <v>55</v>
      </c>
      <c r="AK10" s="128" t="e">
        <f t="shared" si="5"/>
        <v>#DIV/0!</v>
      </c>
      <c r="AL10" s="129" t="e">
        <f t="shared" si="6"/>
        <v>#DIV/0!</v>
      </c>
      <c r="AM10" s="129" t="e">
        <f t="shared" si="7"/>
        <v>#DIV/0!</v>
      </c>
      <c r="AN10" s="129" t="e">
        <f t="shared" si="8"/>
        <v>#DIV/0!</v>
      </c>
      <c r="AO10" s="130" t="e">
        <f t="shared" si="9"/>
        <v>#DIV/0!</v>
      </c>
      <c r="AP10" s="104">
        <f t="shared" si="10"/>
        <v>1550</v>
      </c>
      <c r="AQ10" s="105">
        <f t="shared" si="10"/>
        <v>19462</v>
      </c>
      <c r="AR10" s="105">
        <f t="shared" si="10"/>
        <v>36854</v>
      </c>
      <c r="AS10" s="105">
        <f t="shared" si="10"/>
        <v>1560</v>
      </c>
      <c r="AT10" s="106">
        <f t="shared" si="10"/>
        <v>3640</v>
      </c>
      <c r="AU10" s="107">
        <f t="shared" si="1"/>
        <v>0</v>
      </c>
      <c r="AV10" s="108">
        <f t="shared" si="11"/>
        <v>0</v>
      </c>
      <c r="AW10" s="108">
        <f t="shared" si="12"/>
        <v>0</v>
      </c>
      <c r="AX10" s="108">
        <f t="shared" si="2"/>
        <v>0</v>
      </c>
      <c r="AY10" s="109">
        <f t="shared" si="3"/>
        <v>0</v>
      </c>
      <c r="AZ10" s="107">
        <f t="shared" si="4"/>
        <v>0</v>
      </c>
      <c r="BA10" s="108">
        <v>1000</v>
      </c>
      <c r="BB10" s="108">
        <f>AZ10/AI18</f>
        <v>0</v>
      </c>
      <c r="BC10" s="98"/>
      <c r="BD10" s="101"/>
      <c r="BF10" s="307"/>
      <c r="BH10" s="308"/>
      <c r="BI10" s="307"/>
    </row>
    <row r="11" spans="1:61" ht="15" thickBot="1" x14ac:dyDescent="0.35">
      <c r="A11" s="143">
        <f>+A10+1</f>
        <v>45995</v>
      </c>
      <c r="B11" s="96">
        <f>DAY(Tabla2[[#This Row],[FECHA]])</f>
        <v>4</v>
      </c>
      <c r="C11" s="124" t="s">
        <v>28</v>
      </c>
      <c r="D11" s="144"/>
      <c r="E11" s="145"/>
      <c r="F11" s="146"/>
      <c r="G11" s="146"/>
      <c r="H11" s="145"/>
      <c r="I11" s="290">
        <f>Tabla2[[#This Row],[VOLUMEN ENVIADO A RO (m3)]]/Tabla2[[#This Row],[Q DE OPERACIÓN (m3/h)]]</f>
        <v>0</v>
      </c>
      <c r="J11" s="273">
        <v>0</v>
      </c>
      <c r="K11" s="277">
        <v>52</v>
      </c>
      <c r="L11" s="278">
        <v>32</v>
      </c>
      <c r="M11" s="274">
        <v>0</v>
      </c>
      <c r="N11" s="278">
        <v>0</v>
      </c>
      <c r="O11" s="188">
        <v>0</v>
      </c>
      <c r="P11" s="199">
        <v>456.14035087719299</v>
      </c>
      <c r="Q11" s="182">
        <v>280.70175438596493</v>
      </c>
      <c r="R11" s="199">
        <v>0</v>
      </c>
      <c r="S11" s="199">
        <v>0</v>
      </c>
      <c r="T11" s="184">
        <v>0</v>
      </c>
      <c r="U11" s="185">
        <v>0</v>
      </c>
      <c r="V11" s="185">
        <v>0</v>
      </c>
      <c r="W11" s="185">
        <v>0</v>
      </c>
      <c r="X11" s="186">
        <v>0</v>
      </c>
      <c r="Y11" s="191">
        <v>1.18</v>
      </c>
      <c r="Z11" s="191">
        <v>1.28</v>
      </c>
      <c r="AA11" s="191">
        <v>1.2</v>
      </c>
      <c r="AB11" s="191">
        <v>1.53</v>
      </c>
      <c r="AC11" s="191">
        <v>1.2</v>
      </c>
      <c r="AD11" s="200">
        <v>0</v>
      </c>
      <c r="AE11" s="201">
        <v>0</v>
      </c>
      <c r="AF11" s="201">
        <v>0</v>
      </c>
      <c r="AG11" s="201">
        <v>0</v>
      </c>
      <c r="AH11" s="202">
        <v>0</v>
      </c>
      <c r="AI11" s="401">
        <v>0</v>
      </c>
      <c r="AJ11" s="310">
        <v>55</v>
      </c>
      <c r="AK11" s="128" t="e">
        <f t="shared" si="5"/>
        <v>#DIV/0!</v>
      </c>
      <c r="AL11" s="129" t="e">
        <f t="shared" si="6"/>
        <v>#DIV/0!</v>
      </c>
      <c r="AM11" s="129" t="e">
        <f t="shared" si="7"/>
        <v>#DIV/0!</v>
      </c>
      <c r="AN11" s="129" t="e">
        <f t="shared" si="8"/>
        <v>#DIV/0!</v>
      </c>
      <c r="AO11" s="130" t="e">
        <f t="shared" si="9"/>
        <v>#DIV/0!</v>
      </c>
      <c r="AP11" s="104">
        <f t="shared" si="10"/>
        <v>1550</v>
      </c>
      <c r="AQ11" s="105">
        <f t="shared" si="10"/>
        <v>19462</v>
      </c>
      <c r="AR11" s="105">
        <f t="shared" si="10"/>
        <v>36854</v>
      </c>
      <c r="AS11" s="105">
        <f t="shared" si="10"/>
        <v>1560</v>
      </c>
      <c r="AT11" s="106">
        <f t="shared" si="10"/>
        <v>3640</v>
      </c>
      <c r="AU11" s="104">
        <f t="shared" si="1"/>
        <v>0</v>
      </c>
      <c r="AV11" s="105">
        <f t="shared" si="11"/>
        <v>0</v>
      </c>
      <c r="AW11" s="105">
        <f t="shared" si="12"/>
        <v>0</v>
      </c>
      <c r="AX11" s="105">
        <f t="shared" si="2"/>
        <v>0</v>
      </c>
      <c r="AY11" s="106">
        <f t="shared" si="3"/>
        <v>0</v>
      </c>
      <c r="AZ11" s="104">
        <f t="shared" si="4"/>
        <v>0</v>
      </c>
      <c r="BA11" s="105">
        <v>1000</v>
      </c>
      <c r="BB11" s="105">
        <f>AZ11/AI21</f>
        <v>0</v>
      </c>
      <c r="BC11" s="99"/>
      <c r="BD11" s="100"/>
      <c r="BF11" s="307"/>
      <c r="BH11" s="308"/>
      <c r="BI11" s="307"/>
    </row>
    <row r="12" spans="1:61" ht="15" thickBot="1" x14ac:dyDescent="0.35">
      <c r="A12" s="147">
        <f>+A11</f>
        <v>45995</v>
      </c>
      <c r="B12" s="206">
        <f>DAY(Tabla2[[#This Row],[FECHA]])</f>
        <v>4</v>
      </c>
      <c r="C12" s="132" t="s">
        <v>29</v>
      </c>
      <c r="D12" s="133"/>
      <c r="E12" s="134"/>
      <c r="F12" s="135"/>
      <c r="G12" s="135"/>
      <c r="H12" s="134"/>
      <c r="I12" s="290">
        <f>Tabla2[[#This Row],[VOLUMEN ENVIADO A RO (m3)]]/Tabla2[[#This Row],[Q DE OPERACIÓN (m3/h)]]</f>
        <v>0</v>
      </c>
      <c r="J12" s="273">
        <v>0</v>
      </c>
      <c r="K12" s="277">
        <v>52</v>
      </c>
      <c r="L12" s="278">
        <v>32</v>
      </c>
      <c r="M12" s="277">
        <v>0</v>
      </c>
      <c r="N12" s="278">
        <v>0</v>
      </c>
      <c r="O12" s="188">
        <v>0</v>
      </c>
      <c r="P12" s="189">
        <v>456.14035087719299</v>
      </c>
      <c r="Q12" s="189">
        <v>280.70175438596493</v>
      </c>
      <c r="R12" s="189">
        <v>0</v>
      </c>
      <c r="S12" s="189">
        <v>0</v>
      </c>
      <c r="T12" s="184">
        <v>0</v>
      </c>
      <c r="U12" s="185">
        <v>0</v>
      </c>
      <c r="V12" s="185">
        <v>0</v>
      </c>
      <c r="W12" s="185">
        <v>0</v>
      </c>
      <c r="X12" s="186">
        <v>0</v>
      </c>
      <c r="Y12" s="191">
        <v>1.18</v>
      </c>
      <c r="Z12" s="191">
        <v>1.28</v>
      </c>
      <c r="AA12" s="191">
        <v>1.2</v>
      </c>
      <c r="AB12" s="191">
        <v>1.53</v>
      </c>
      <c r="AC12" s="191">
        <v>1.2</v>
      </c>
      <c r="AD12" s="184">
        <v>0</v>
      </c>
      <c r="AE12" s="185">
        <v>0</v>
      </c>
      <c r="AF12" s="185">
        <v>0</v>
      </c>
      <c r="AG12" s="185">
        <v>0</v>
      </c>
      <c r="AH12" s="186">
        <v>0</v>
      </c>
      <c r="AI12" s="402">
        <v>0</v>
      </c>
      <c r="AJ12" s="310">
        <v>55</v>
      </c>
      <c r="AK12" s="128" t="e">
        <f t="shared" si="5"/>
        <v>#DIV/0!</v>
      </c>
      <c r="AL12" s="129" t="e">
        <f t="shared" si="6"/>
        <v>#DIV/0!</v>
      </c>
      <c r="AM12" s="129" t="e">
        <f t="shared" si="7"/>
        <v>#DIV/0!</v>
      </c>
      <c r="AN12" s="129" t="e">
        <f t="shared" si="8"/>
        <v>#DIV/0!</v>
      </c>
      <c r="AO12" s="130" t="e">
        <f t="shared" si="9"/>
        <v>#DIV/0!</v>
      </c>
      <c r="AP12" s="104">
        <f t="shared" si="10"/>
        <v>1550</v>
      </c>
      <c r="AQ12" s="105">
        <f t="shared" si="10"/>
        <v>19462</v>
      </c>
      <c r="AR12" s="105">
        <f t="shared" si="10"/>
        <v>36854</v>
      </c>
      <c r="AS12" s="105">
        <f t="shared" si="10"/>
        <v>1560</v>
      </c>
      <c r="AT12" s="106">
        <f t="shared" si="10"/>
        <v>3640</v>
      </c>
      <c r="AU12" s="104">
        <f t="shared" si="1"/>
        <v>0</v>
      </c>
      <c r="AV12" s="105">
        <f t="shared" si="11"/>
        <v>0</v>
      </c>
      <c r="AW12" s="105">
        <f t="shared" si="12"/>
        <v>0</v>
      </c>
      <c r="AX12" s="105">
        <f t="shared" si="2"/>
        <v>0</v>
      </c>
      <c r="AY12" s="106">
        <f t="shared" si="3"/>
        <v>0</v>
      </c>
      <c r="AZ12" s="104">
        <f t="shared" si="4"/>
        <v>0</v>
      </c>
      <c r="BA12" s="105">
        <v>1000</v>
      </c>
      <c r="BB12" s="105">
        <f>AZ12/AI24</f>
        <v>0</v>
      </c>
      <c r="BC12" s="99"/>
      <c r="BD12" s="100"/>
      <c r="BF12" s="307"/>
      <c r="BH12" s="308"/>
      <c r="BI12" s="307"/>
    </row>
    <row r="13" spans="1:61" ht="15" thickBot="1" x14ac:dyDescent="0.35">
      <c r="A13" s="148">
        <f>+A12</f>
        <v>45995</v>
      </c>
      <c r="B13" s="207">
        <f>DAY(Tabla2[[#This Row],[FECHA]])</f>
        <v>4</v>
      </c>
      <c r="C13" s="137" t="s">
        <v>30</v>
      </c>
      <c r="D13" s="138"/>
      <c r="E13" s="139"/>
      <c r="F13" s="140"/>
      <c r="G13" s="141"/>
      <c r="H13" s="142"/>
      <c r="I13" s="290">
        <f>Tabla2[[#This Row],[VOLUMEN ENVIADO A RO (m3)]]/Tabla2[[#This Row],[Q DE OPERACIÓN (m3/h)]]</f>
        <v>0</v>
      </c>
      <c r="J13" s="273">
        <v>0</v>
      </c>
      <c r="K13" s="280">
        <v>52</v>
      </c>
      <c r="L13" s="281">
        <v>32</v>
      </c>
      <c r="M13" s="280">
        <v>0</v>
      </c>
      <c r="N13" s="281">
        <v>0</v>
      </c>
      <c r="O13" s="188">
        <v>0</v>
      </c>
      <c r="P13" s="193">
        <v>456.14035087719299</v>
      </c>
      <c r="Q13" s="193">
        <v>280.70175438596493</v>
      </c>
      <c r="R13" s="193">
        <v>0</v>
      </c>
      <c r="S13" s="193">
        <v>0</v>
      </c>
      <c r="T13" s="184">
        <v>0</v>
      </c>
      <c r="U13" s="185">
        <v>0</v>
      </c>
      <c r="V13" s="185">
        <v>0</v>
      </c>
      <c r="W13" s="185">
        <v>0</v>
      </c>
      <c r="X13" s="186">
        <v>0</v>
      </c>
      <c r="Y13" s="191">
        <v>1.18</v>
      </c>
      <c r="Z13" s="191">
        <v>1.28</v>
      </c>
      <c r="AA13" s="191">
        <v>1.2</v>
      </c>
      <c r="AB13" s="191">
        <v>1.53</v>
      </c>
      <c r="AC13" s="191">
        <v>1.2</v>
      </c>
      <c r="AD13" s="195">
        <v>0</v>
      </c>
      <c r="AE13" s="196">
        <v>0</v>
      </c>
      <c r="AF13" s="196">
        <v>0</v>
      </c>
      <c r="AG13" s="196">
        <v>0</v>
      </c>
      <c r="AH13" s="197">
        <v>0</v>
      </c>
      <c r="AI13" s="403">
        <v>0</v>
      </c>
      <c r="AJ13" s="310">
        <v>55</v>
      </c>
      <c r="AK13" s="128" t="e">
        <f t="shared" si="5"/>
        <v>#DIV/0!</v>
      </c>
      <c r="AL13" s="129" t="e">
        <f t="shared" si="6"/>
        <v>#DIV/0!</v>
      </c>
      <c r="AM13" s="129" t="e">
        <f t="shared" si="7"/>
        <v>#DIV/0!</v>
      </c>
      <c r="AN13" s="129" t="e">
        <f t="shared" si="8"/>
        <v>#DIV/0!</v>
      </c>
      <c r="AO13" s="130" t="e">
        <f t="shared" si="9"/>
        <v>#DIV/0!</v>
      </c>
      <c r="AP13" s="104">
        <f t="shared" si="10"/>
        <v>1550</v>
      </c>
      <c r="AQ13" s="105">
        <f t="shared" si="10"/>
        <v>19462</v>
      </c>
      <c r="AR13" s="105">
        <f t="shared" si="10"/>
        <v>36854</v>
      </c>
      <c r="AS13" s="105">
        <f t="shared" si="10"/>
        <v>1560</v>
      </c>
      <c r="AT13" s="106">
        <f t="shared" si="10"/>
        <v>3640</v>
      </c>
      <c r="AU13" s="107">
        <f t="shared" si="1"/>
        <v>0</v>
      </c>
      <c r="AV13" s="108">
        <f t="shared" si="11"/>
        <v>0</v>
      </c>
      <c r="AW13" s="108">
        <f t="shared" si="12"/>
        <v>0</v>
      </c>
      <c r="AX13" s="108">
        <f t="shared" si="2"/>
        <v>0</v>
      </c>
      <c r="AY13" s="109">
        <f t="shared" si="3"/>
        <v>0</v>
      </c>
      <c r="AZ13" s="107">
        <f t="shared" si="4"/>
        <v>0</v>
      </c>
      <c r="BA13" s="108">
        <v>1000</v>
      </c>
      <c r="BB13" s="108">
        <f>AZ13/AI27</f>
        <v>0</v>
      </c>
      <c r="BC13" s="98"/>
      <c r="BD13" s="101"/>
      <c r="BF13" s="307"/>
      <c r="BH13" s="308"/>
      <c r="BI13" s="307"/>
    </row>
    <row r="14" spans="1:61" ht="15" thickBot="1" x14ac:dyDescent="0.35">
      <c r="A14" s="143">
        <f>+A13+1</f>
        <v>45996</v>
      </c>
      <c r="B14" s="96">
        <f>DAY(Tabla2[[#This Row],[FECHA]])</f>
        <v>5</v>
      </c>
      <c r="C14" s="124" t="s">
        <v>28</v>
      </c>
      <c r="D14" s="144"/>
      <c r="E14" s="145"/>
      <c r="F14" s="146"/>
      <c r="G14" s="146"/>
      <c r="H14" s="145"/>
      <c r="I14" s="290">
        <f>Tabla2[[#This Row],[VOLUMEN ENVIADO A RO (m3)]]/Tabla2[[#This Row],[Q DE OPERACIÓN (m3/h)]]</f>
        <v>0</v>
      </c>
      <c r="J14" s="273">
        <v>0</v>
      </c>
      <c r="K14" s="274">
        <v>52</v>
      </c>
      <c r="L14" s="275">
        <v>32</v>
      </c>
      <c r="M14" s="274">
        <v>0</v>
      </c>
      <c r="N14" s="275">
        <v>0</v>
      </c>
      <c r="O14" s="188">
        <v>0</v>
      </c>
      <c r="P14" s="199">
        <v>456.14035087719299</v>
      </c>
      <c r="Q14" s="182">
        <v>280.70175438596493</v>
      </c>
      <c r="R14" s="199">
        <v>0</v>
      </c>
      <c r="S14" s="199">
        <v>0</v>
      </c>
      <c r="T14" s="184">
        <v>0</v>
      </c>
      <c r="U14" s="185">
        <v>0</v>
      </c>
      <c r="V14" s="185">
        <v>0</v>
      </c>
      <c r="W14" s="185">
        <v>0</v>
      </c>
      <c r="X14" s="186">
        <v>0</v>
      </c>
      <c r="Y14" s="191">
        <v>1.18</v>
      </c>
      <c r="Z14" s="191">
        <v>1.28</v>
      </c>
      <c r="AA14" s="191">
        <v>1.2</v>
      </c>
      <c r="AB14" s="191">
        <v>1.53</v>
      </c>
      <c r="AC14" s="191">
        <v>1.2</v>
      </c>
      <c r="AD14" s="200">
        <v>0</v>
      </c>
      <c r="AE14" s="201">
        <v>0</v>
      </c>
      <c r="AF14" s="201">
        <v>0</v>
      </c>
      <c r="AG14" s="201">
        <v>0</v>
      </c>
      <c r="AH14" s="202">
        <v>0</v>
      </c>
      <c r="AI14" s="401">
        <v>0</v>
      </c>
      <c r="AJ14" s="310">
        <v>55</v>
      </c>
      <c r="AK14" s="128" t="e">
        <f t="shared" si="5"/>
        <v>#DIV/0!</v>
      </c>
      <c r="AL14" s="129" t="e">
        <f t="shared" si="6"/>
        <v>#DIV/0!</v>
      </c>
      <c r="AM14" s="129" t="e">
        <f t="shared" si="7"/>
        <v>#DIV/0!</v>
      </c>
      <c r="AN14" s="129" t="e">
        <f t="shared" si="8"/>
        <v>#DIV/0!</v>
      </c>
      <c r="AO14" s="130" t="e">
        <f t="shared" si="9"/>
        <v>#DIV/0!</v>
      </c>
      <c r="AP14" s="104">
        <f t="shared" si="10"/>
        <v>1550</v>
      </c>
      <c r="AQ14" s="105">
        <f t="shared" si="10"/>
        <v>19462</v>
      </c>
      <c r="AR14" s="105">
        <f t="shared" si="10"/>
        <v>36854</v>
      </c>
      <c r="AS14" s="105">
        <f t="shared" si="10"/>
        <v>1560</v>
      </c>
      <c r="AT14" s="106">
        <f t="shared" si="10"/>
        <v>3640</v>
      </c>
      <c r="AU14" s="104">
        <f t="shared" si="1"/>
        <v>0</v>
      </c>
      <c r="AV14" s="105">
        <f t="shared" si="11"/>
        <v>0</v>
      </c>
      <c r="AW14" s="105">
        <f t="shared" si="12"/>
        <v>0</v>
      </c>
      <c r="AX14" s="105">
        <f t="shared" si="2"/>
        <v>0</v>
      </c>
      <c r="AY14" s="106">
        <f t="shared" si="3"/>
        <v>0</v>
      </c>
      <c r="AZ14" s="104">
        <f t="shared" si="4"/>
        <v>0</v>
      </c>
      <c r="BA14" s="105">
        <v>1000</v>
      </c>
      <c r="BB14" s="105">
        <f>AZ14/AI30</f>
        <v>0</v>
      </c>
      <c r="BC14" s="99"/>
      <c r="BD14" s="100"/>
      <c r="BF14" s="307"/>
      <c r="BH14" s="308"/>
      <c r="BI14" s="307"/>
    </row>
    <row r="15" spans="1:61" ht="15" thickBot="1" x14ac:dyDescent="0.35">
      <c r="A15" s="147">
        <f>+A14</f>
        <v>45996</v>
      </c>
      <c r="B15" s="206">
        <f>DAY(Tabla2[[#This Row],[FECHA]])</f>
        <v>5</v>
      </c>
      <c r="C15" s="132" t="s">
        <v>29</v>
      </c>
      <c r="D15" s="125"/>
      <c r="E15" s="126"/>
      <c r="F15" s="127"/>
      <c r="G15" s="127"/>
      <c r="H15" s="126"/>
      <c r="I15" s="290">
        <f>Tabla2[[#This Row],[VOLUMEN ENVIADO A RO (m3)]]/Tabla2[[#This Row],[Q DE OPERACIÓN (m3/h)]]</f>
        <v>0</v>
      </c>
      <c r="J15" s="273">
        <v>0</v>
      </c>
      <c r="K15" s="277">
        <v>52</v>
      </c>
      <c r="L15" s="278">
        <v>32</v>
      </c>
      <c r="M15" s="277">
        <v>0</v>
      </c>
      <c r="N15" s="278">
        <v>0</v>
      </c>
      <c r="O15" s="188">
        <v>0</v>
      </c>
      <c r="P15" s="189">
        <v>456.14035087719299</v>
      </c>
      <c r="Q15" s="189">
        <v>280.70175438596493</v>
      </c>
      <c r="R15" s="189">
        <v>0</v>
      </c>
      <c r="S15" s="189">
        <v>0</v>
      </c>
      <c r="T15" s="184">
        <v>0</v>
      </c>
      <c r="U15" s="185">
        <v>0</v>
      </c>
      <c r="V15" s="185">
        <v>0</v>
      </c>
      <c r="W15" s="185">
        <v>0</v>
      </c>
      <c r="X15" s="186">
        <v>0</v>
      </c>
      <c r="Y15" s="191">
        <v>1.18</v>
      </c>
      <c r="Z15" s="191">
        <v>1.28</v>
      </c>
      <c r="AA15" s="191">
        <v>1.2</v>
      </c>
      <c r="AB15" s="191">
        <v>1.53</v>
      </c>
      <c r="AC15" s="191">
        <v>1.2</v>
      </c>
      <c r="AD15" s="184">
        <v>0</v>
      </c>
      <c r="AE15" s="185">
        <v>0</v>
      </c>
      <c r="AF15" s="185">
        <v>0</v>
      </c>
      <c r="AG15" s="185">
        <v>0</v>
      </c>
      <c r="AH15" s="186">
        <v>0</v>
      </c>
      <c r="AI15" s="402">
        <v>0</v>
      </c>
      <c r="AJ15" s="310">
        <v>55</v>
      </c>
      <c r="AK15" s="128" t="e">
        <f t="shared" si="5"/>
        <v>#DIV/0!</v>
      </c>
      <c r="AL15" s="129" t="e">
        <f t="shared" si="6"/>
        <v>#DIV/0!</v>
      </c>
      <c r="AM15" s="129" t="e">
        <f t="shared" si="7"/>
        <v>#DIV/0!</v>
      </c>
      <c r="AN15" s="129" t="e">
        <f t="shared" si="8"/>
        <v>#DIV/0!</v>
      </c>
      <c r="AO15" s="130" t="e">
        <f t="shared" si="9"/>
        <v>#DIV/0!</v>
      </c>
      <c r="AP15" s="104">
        <f t="shared" si="10"/>
        <v>1550</v>
      </c>
      <c r="AQ15" s="105">
        <f t="shared" si="10"/>
        <v>19462</v>
      </c>
      <c r="AR15" s="105">
        <f t="shared" si="10"/>
        <v>36854</v>
      </c>
      <c r="AS15" s="105">
        <f t="shared" si="10"/>
        <v>1560</v>
      </c>
      <c r="AT15" s="106">
        <f t="shared" si="10"/>
        <v>3640</v>
      </c>
      <c r="AU15" s="104">
        <f t="shared" si="1"/>
        <v>0</v>
      </c>
      <c r="AV15" s="105">
        <f t="shared" si="11"/>
        <v>0</v>
      </c>
      <c r="AW15" s="105">
        <f t="shared" si="12"/>
        <v>0</v>
      </c>
      <c r="AX15" s="105">
        <f t="shared" si="2"/>
        <v>0</v>
      </c>
      <c r="AY15" s="106">
        <f t="shared" si="3"/>
        <v>0</v>
      </c>
      <c r="AZ15" s="104">
        <f t="shared" si="4"/>
        <v>0</v>
      </c>
      <c r="BA15" s="105">
        <v>1000</v>
      </c>
      <c r="BB15" s="105" t="e">
        <f>AZ15/AI33</f>
        <v>#DIV/0!</v>
      </c>
      <c r="BC15" s="99"/>
      <c r="BD15" s="100"/>
      <c r="BF15" s="307"/>
      <c r="BH15" s="308"/>
      <c r="BI15" s="307"/>
    </row>
    <row r="16" spans="1:61" ht="15" thickBot="1" x14ac:dyDescent="0.35">
      <c r="A16" s="148">
        <f>+A15</f>
        <v>45996</v>
      </c>
      <c r="B16" s="207">
        <f>DAY(Tabla2[[#This Row],[FECHA]])</f>
        <v>5</v>
      </c>
      <c r="C16" s="137" t="s">
        <v>30</v>
      </c>
      <c r="D16" s="149"/>
      <c r="E16" s="150"/>
      <c r="F16" s="151"/>
      <c r="G16" s="151"/>
      <c r="H16" s="150"/>
      <c r="I16" s="290">
        <f>Tabla2[[#This Row],[VOLUMEN ENVIADO A RO (m3)]]/Tabla2[[#This Row],[Q DE OPERACIÓN (m3/h)]]</f>
        <v>5.0586000000000002</v>
      </c>
      <c r="J16" s="273">
        <v>0</v>
      </c>
      <c r="K16" s="280">
        <v>52</v>
      </c>
      <c r="L16" s="281">
        <v>32</v>
      </c>
      <c r="M16" s="280">
        <v>0</v>
      </c>
      <c r="N16" s="281">
        <v>0</v>
      </c>
      <c r="O16" s="188">
        <v>0</v>
      </c>
      <c r="P16" s="193">
        <v>456.14035087719299</v>
      </c>
      <c r="Q16" s="193">
        <v>280.70175438596493</v>
      </c>
      <c r="R16" s="193">
        <v>0</v>
      </c>
      <c r="S16" s="193">
        <v>0</v>
      </c>
      <c r="T16" s="184">
        <v>0</v>
      </c>
      <c r="U16" s="185">
        <v>0</v>
      </c>
      <c r="V16" s="185">
        <v>0</v>
      </c>
      <c r="W16" s="185">
        <v>0</v>
      </c>
      <c r="X16" s="186">
        <v>0</v>
      </c>
      <c r="Y16" s="191">
        <v>1.18</v>
      </c>
      <c r="Z16" s="191">
        <v>1.28</v>
      </c>
      <c r="AA16" s="191">
        <v>1.2</v>
      </c>
      <c r="AB16" s="191">
        <v>1.53</v>
      </c>
      <c r="AC16" s="191">
        <v>1.2</v>
      </c>
      <c r="AD16" s="195">
        <v>0</v>
      </c>
      <c r="AE16" s="196">
        <v>0</v>
      </c>
      <c r="AF16" s="196">
        <v>0</v>
      </c>
      <c r="AG16" s="196">
        <v>0</v>
      </c>
      <c r="AH16" s="197">
        <v>0</v>
      </c>
      <c r="AI16" s="403">
        <v>278.22300000000001</v>
      </c>
      <c r="AJ16" s="310">
        <v>55</v>
      </c>
      <c r="AK16" s="128">
        <f t="shared" si="5"/>
        <v>0</v>
      </c>
      <c r="AL16" s="129">
        <f t="shared" si="6"/>
        <v>0</v>
      </c>
      <c r="AM16" s="129">
        <f t="shared" si="7"/>
        <v>0</v>
      </c>
      <c r="AN16" s="129">
        <f t="shared" si="8"/>
        <v>0</v>
      </c>
      <c r="AO16" s="130">
        <f t="shared" si="9"/>
        <v>0</v>
      </c>
      <c r="AP16" s="104">
        <f t="shared" si="10"/>
        <v>1550</v>
      </c>
      <c r="AQ16" s="105">
        <f t="shared" si="10"/>
        <v>19462</v>
      </c>
      <c r="AR16" s="105">
        <f t="shared" si="10"/>
        <v>36854</v>
      </c>
      <c r="AS16" s="105">
        <f t="shared" si="10"/>
        <v>1560</v>
      </c>
      <c r="AT16" s="106">
        <f t="shared" si="10"/>
        <v>3640</v>
      </c>
      <c r="AU16" s="107">
        <f t="shared" si="1"/>
        <v>0</v>
      </c>
      <c r="AV16" s="108">
        <f t="shared" si="11"/>
        <v>0</v>
      </c>
      <c r="AW16" s="108">
        <f t="shared" si="12"/>
        <v>0</v>
      </c>
      <c r="AX16" s="108">
        <f t="shared" si="2"/>
        <v>0</v>
      </c>
      <c r="AY16" s="109">
        <f t="shared" si="3"/>
        <v>25318.293000000001</v>
      </c>
      <c r="AZ16" s="107">
        <f t="shared" si="4"/>
        <v>25318.293000000001</v>
      </c>
      <c r="BA16" s="108">
        <v>1000</v>
      </c>
      <c r="BB16" s="108" t="e">
        <f>AZ16/AI36</f>
        <v>#DIV/0!</v>
      </c>
      <c r="BC16" s="98"/>
      <c r="BD16" s="101"/>
      <c r="BF16" s="307"/>
      <c r="BH16" s="308"/>
      <c r="BI16" s="307"/>
    </row>
    <row r="17" spans="1:61" ht="15" thickBot="1" x14ac:dyDescent="0.35">
      <c r="A17" s="143">
        <f>+A16+1</f>
        <v>45997</v>
      </c>
      <c r="B17" s="208">
        <f>DAY(Tabla2[[#This Row],[FECHA]])</f>
        <v>6</v>
      </c>
      <c r="C17" s="152" t="s">
        <v>28</v>
      </c>
      <c r="D17" s="144"/>
      <c r="E17" s="145"/>
      <c r="F17" s="146"/>
      <c r="G17" s="146"/>
      <c r="H17" s="145"/>
      <c r="I17" s="290">
        <f>Tabla2[[#This Row],[VOLUMEN ENVIADO A RO (m3)]]/Tabla2[[#This Row],[Q DE OPERACIÓN (m3/h)]]</f>
        <v>2.4370909090909088</v>
      </c>
      <c r="J17" s="273">
        <v>0</v>
      </c>
      <c r="K17" s="274">
        <v>52</v>
      </c>
      <c r="L17" s="275">
        <v>32</v>
      </c>
      <c r="M17" s="274">
        <v>0</v>
      </c>
      <c r="N17" s="275">
        <v>0</v>
      </c>
      <c r="O17" s="188">
        <v>0</v>
      </c>
      <c r="P17" s="199">
        <v>456.14035087719299</v>
      </c>
      <c r="Q17" s="182">
        <v>280.70175438596493</v>
      </c>
      <c r="R17" s="199">
        <v>0</v>
      </c>
      <c r="S17" s="199">
        <v>0</v>
      </c>
      <c r="T17" s="184">
        <v>0</v>
      </c>
      <c r="U17" s="185">
        <v>0</v>
      </c>
      <c r="V17" s="185">
        <v>0</v>
      </c>
      <c r="W17" s="185">
        <v>0</v>
      </c>
      <c r="X17" s="186">
        <v>0</v>
      </c>
      <c r="Y17" s="191">
        <v>1.18</v>
      </c>
      <c r="Z17" s="191">
        <v>1.28</v>
      </c>
      <c r="AA17" s="191">
        <v>1.2</v>
      </c>
      <c r="AB17" s="191">
        <v>1.53</v>
      </c>
      <c r="AC17" s="191">
        <v>1.2</v>
      </c>
      <c r="AD17" s="200">
        <v>0</v>
      </c>
      <c r="AE17" s="201">
        <v>0</v>
      </c>
      <c r="AF17" s="201">
        <v>0</v>
      </c>
      <c r="AG17" s="201">
        <v>0</v>
      </c>
      <c r="AH17" s="202">
        <v>0</v>
      </c>
      <c r="AI17" s="401">
        <v>134.04</v>
      </c>
      <c r="AJ17" s="310">
        <v>55</v>
      </c>
      <c r="AK17" s="128">
        <f t="shared" si="5"/>
        <v>0</v>
      </c>
      <c r="AL17" s="129">
        <f t="shared" si="6"/>
        <v>0</v>
      </c>
      <c r="AM17" s="129">
        <f t="shared" si="7"/>
        <v>0</v>
      </c>
      <c r="AN17" s="129">
        <f t="shared" si="8"/>
        <v>0</v>
      </c>
      <c r="AO17" s="130">
        <f t="shared" si="9"/>
        <v>0</v>
      </c>
      <c r="AP17" s="104">
        <f t="shared" si="10"/>
        <v>1550</v>
      </c>
      <c r="AQ17" s="105">
        <f t="shared" si="10"/>
        <v>19462</v>
      </c>
      <c r="AR17" s="105">
        <f t="shared" si="10"/>
        <v>36854</v>
      </c>
      <c r="AS17" s="105">
        <f t="shared" si="10"/>
        <v>1560</v>
      </c>
      <c r="AT17" s="106">
        <f t="shared" si="10"/>
        <v>3640</v>
      </c>
      <c r="AU17" s="104">
        <f t="shared" si="1"/>
        <v>0</v>
      </c>
      <c r="AV17" s="105">
        <f t="shared" si="11"/>
        <v>0</v>
      </c>
      <c r="AW17" s="105">
        <f t="shared" si="12"/>
        <v>0</v>
      </c>
      <c r="AX17" s="105">
        <f t="shared" si="2"/>
        <v>0</v>
      </c>
      <c r="AY17" s="106">
        <f t="shared" si="3"/>
        <v>12197.64</v>
      </c>
      <c r="AZ17" s="104">
        <f t="shared" si="4"/>
        <v>12197.64</v>
      </c>
      <c r="BA17" s="105">
        <v>1000</v>
      </c>
      <c r="BB17" s="105" t="e">
        <f>AZ17/AI39</f>
        <v>#DIV/0!</v>
      </c>
      <c r="BC17" s="99"/>
      <c r="BD17" s="100"/>
      <c r="BF17" s="307"/>
      <c r="BH17" s="308"/>
      <c r="BI17" s="307"/>
    </row>
    <row r="18" spans="1:61" ht="15" thickBot="1" x14ac:dyDescent="0.35">
      <c r="A18" s="147">
        <f>+A17</f>
        <v>45997</v>
      </c>
      <c r="B18" s="206">
        <f>DAY(Tabla2[[#This Row],[FECHA]])</f>
        <v>6</v>
      </c>
      <c r="C18" s="132" t="s">
        <v>29</v>
      </c>
      <c r="D18" s="125"/>
      <c r="E18" s="126"/>
      <c r="F18" s="127"/>
      <c r="G18" s="127"/>
      <c r="H18" s="126"/>
      <c r="I18" s="290">
        <f>Tabla2[[#This Row],[VOLUMEN ENVIADO A RO (m3)]]/Tabla2[[#This Row],[Q DE OPERACIÓN (m3/h)]]</f>
        <v>3.2748545454545455</v>
      </c>
      <c r="J18" s="273">
        <v>0</v>
      </c>
      <c r="K18" s="277">
        <v>52</v>
      </c>
      <c r="L18" s="278">
        <v>32</v>
      </c>
      <c r="M18" s="277">
        <v>0</v>
      </c>
      <c r="N18" s="278">
        <v>0</v>
      </c>
      <c r="O18" s="188">
        <v>0</v>
      </c>
      <c r="P18" s="189">
        <v>456.14035087719299</v>
      </c>
      <c r="Q18" s="189">
        <v>280.70175438596493</v>
      </c>
      <c r="R18" s="189">
        <v>0</v>
      </c>
      <c r="S18" s="189">
        <v>0</v>
      </c>
      <c r="T18" s="184">
        <v>0</v>
      </c>
      <c r="U18" s="185">
        <v>17.543859649122794</v>
      </c>
      <c r="V18" s="185">
        <v>0</v>
      </c>
      <c r="W18" s="185">
        <v>0</v>
      </c>
      <c r="X18" s="186">
        <v>0</v>
      </c>
      <c r="Y18" s="191">
        <v>1.18</v>
      </c>
      <c r="Z18" s="191">
        <v>1.28</v>
      </c>
      <c r="AA18" s="191">
        <v>1.2</v>
      </c>
      <c r="AB18" s="191">
        <v>1.53</v>
      </c>
      <c r="AC18" s="191">
        <v>1.2</v>
      </c>
      <c r="AD18" s="184">
        <v>0</v>
      </c>
      <c r="AE18" s="185">
        <v>22.456140350877178</v>
      </c>
      <c r="AF18" s="185">
        <v>0</v>
      </c>
      <c r="AG18" s="185">
        <v>0</v>
      </c>
      <c r="AH18" s="186">
        <v>0</v>
      </c>
      <c r="AI18" s="402">
        <v>180.11699999999999</v>
      </c>
      <c r="AJ18" s="310">
        <v>55</v>
      </c>
      <c r="AK18" s="128">
        <f t="shared" si="5"/>
        <v>0</v>
      </c>
      <c r="AL18" s="129">
        <f t="shared" si="6"/>
        <v>124.67529634002997</v>
      </c>
      <c r="AM18" s="129">
        <f t="shared" si="7"/>
        <v>0</v>
      </c>
      <c r="AN18" s="129">
        <f t="shared" si="8"/>
        <v>0</v>
      </c>
      <c r="AO18" s="130">
        <f t="shared" si="9"/>
        <v>0</v>
      </c>
      <c r="AP18" s="104">
        <f t="shared" si="10"/>
        <v>1550</v>
      </c>
      <c r="AQ18" s="105">
        <f t="shared" si="10"/>
        <v>19462</v>
      </c>
      <c r="AR18" s="105">
        <f t="shared" si="10"/>
        <v>36854</v>
      </c>
      <c r="AS18" s="105">
        <f t="shared" si="10"/>
        <v>1560</v>
      </c>
      <c r="AT18" s="106">
        <f t="shared" si="10"/>
        <v>3640</v>
      </c>
      <c r="AU18" s="104">
        <f t="shared" si="1"/>
        <v>27845.614035087699</v>
      </c>
      <c r="AV18" s="105">
        <f t="shared" si="11"/>
        <v>0</v>
      </c>
      <c r="AW18" s="105">
        <f t="shared" si="12"/>
        <v>0</v>
      </c>
      <c r="AX18" s="105">
        <f t="shared" si="2"/>
        <v>0</v>
      </c>
      <c r="AY18" s="106">
        <f t="shared" si="3"/>
        <v>16390.647000000001</v>
      </c>
      <c r="AZ18" s="104">
        <f t="shared" si="4"/>
        <v>44236.2610350877</v>
      </c>
      <c r="BA18" s="105">
        <v>1000</v>
      </c>
      <c r="BB18" s="105">
        <f>AZ18/AI42</f>
        <v>190.78702432950504</v>
      </c>
      <c r="BC18" s="99"/>
      <c r="BD18" s="100"/>
      <c r="BF18" s="307"/>
      <c r="BH18" s="308"/>
      <c r="BI18" s="307"/>
    </row>
    <row r="19" spans="1:61" ht="15" thickBot="1" x14ac:dyDescent="0.35">
      <c r="A19" s="148">
        <f>+A18</f>
        <v>45997</v>
      </c>
      <c r="B19" s="207">
        <f>DAY(Tabla2[[#This Row],[FECHA]])</f>
        <v>6</v>
      </c>
      <c r="C19" s="137" t="s">
        <v>30</v>
      </c>
      <c r="D19" s="149"/>
      <c r="E19" s="150"/>
      <c r="F19" s="151"/>
      <c r="G19" s="151"/>
      <c r="H19" s="150"/>
      <c r="I19" s="290">
        <f>Tabla2[[#This Row],[VOLUMEN ENVIADO A RO (m3)]]/Tabla2[[#This Row],[Q DE OPERACIÓN (m3/h)]]</f>
        <v>4.8302181818181813</v>
      </c>
      <c r="J19" s="273">
        <v>0</v>
      </c>
      <c r="K19" s="280">
        <v>50</v>
      </c>
      <c r="L19" s="281">
        <v>32</v>
      </c>
      <c r="M19" s="280">
        <v>0</v>
      </c>
      <c r="N19" s="281">
        <v>0</v>
      </c>
      <c r="O19" s="188">
        <v>0</v>
      </c>
      <c r="P19" s="193">
        <v>438.59649122807019</v>
      </c>
      <c r="Q19" s="193">
        <v>280.70175438596493</v>
      </c>
      <c r="R19" s="193">
        <v>0</v>
      </c>
      <c r="S19" s="193">
        <v>0</v>
      </c>
      <c r="T19" s="184">
        <v>0</v>
      </c>
      <c r="U19" s="185">
        <v>0</v>
      </c>
      <c r="V19" s="185">
        <v>0</v>
      </c>
      <c r="W19" s="185">
        <v>0</v>
      </c>
      <c r="X19" s="186">
        <v>0</v>
      </c>
      <c r="Y19" s="191">
        <v>1.18</v>
      </c>
      <c r="Z19" s="191">
        <v>1.28</v>
      </c>
      <c r="AA19" s="191">
        <v>1.2</v>
      </c>
      <c r="AB19" s="191">
        <v>1.53</v>
      </c>
      <c r="AC19" s="191">
        <v>1.2</v>
      </c>
      <c r="AD19" s="195">
        <v>0</v>
      </c>
      <c r="AE19" s="196">
        <v>0</v>
      </c>
      <c r="AF19" s="196">
        <v>0</v>
      </c>
      <c r="AG19" s="196">
        <v>0</v>
      </c>
      <c r="AH19" s="197">
        <v>0</v>
      </c>
      <c r="AI19" s="403">
        <v>265.66199999999998</v>
      </c>
      <c r="AJ19" s="310">
        <v>55</v>
      </c>
      <c r="AK19" s="128">
        <f t="shared" si="5"/>
        <v>0</v>
      </c>
      <c r="AL19" s="129">
        <f t="shared" si="6"/>
        <v>0</v>
      </c>
      <c r="AM19" s="129">
        <f t="shared" si="7"/>
        <v>0</v>
      </c>
      <c r="AN19" s="129">
        <f t="shared" si="8"/>
        <v>0</v>
      </c>
      <c r="AO19" s="130">
        <f t="shared" si="9"/>
        <v>0</v>
      </c>
      <c r="AP19" s="104">
        <f t="shared" ref="AP19:AT34" si="13">AP18</f>
        <v>1550</v>
      </c>
      <c r="AQ19" s="105">
        <f t="shared" si="13"/>
        <v>19462</v>
      </c>
      <c r="AR19" s="105">
        <f t="shared" si="13"/>
        <v>36854</v>
      </c>
      <c r="AS19" s="105">
        <f t="shared" si="13"/>
        <v>1560</v>
      </c>
      <c r="AT19" s="106">
        <f t="shared" si="13"/>
        <v>3640</v>
      </c>
      <c r="AU19" s="107">
        <f t="shared" si="1"/>
        <v>0</v>
      </c>
      <c r="AV19" s="108">
        <f t="shared" si="11"/>
        <v>0</v>
      </c>
      <c r="AW19" s="108">
        <f t="shared" si="12"/>
        <v>0</v>
      </c>
      <c r="AX19" s="108">
        <f t="shared" si="2"/>
        <v>0</v>
      </c>
      <c r="AY19" s="109">
        <f t="shared" si="3"/>
        <v>24175.241999999998</v>
      </c>
      <c r="AZ19" s="107">
        <f t="shared" si="4"/>
        <v>24175.241999999998</v>
      </c>
      <c r="BA19" s="108">
        <v>1000</v>
      </c>
      <c r="BB19" s="108">
        <f>AZ19/AI45</f>
        <v>55.194616438356164</v>
      </c>
      <c r="BC19" s="98"/>
      <c r="BD19" s="101"/>
      <c r="BF19" s="307"/>
      <c r="BH19" s="308"/>
      <c r="BI19" s="307"/>
    </row>
    <row r="20" spans="1:61" ht="15" thickBot="1" x14ac:dyDescent="0.35">
      <c r="A20" s="143">
        <f>+A19+1</f>
        <v>45998</v>
      </c>
      <c r="B20" s="208">
        <f>DAY(Tabla2[[#This Row],[FECHA]])</f>
        <v>7</v>
      </c>
      <c r="C20" s="152" t="s">
        <v>28</v>
      </c>
      <c r="D20" s="144"/>
      <c r="E20" s="145"/>
      <c r="F20" s="146"/>
      <c r="G20" s="146"/>
      <c r="H20" s="145"/>
      <c r="I20" s="290">
        <f>Tabla2[[#This Row],[VOLUMEN ENVIADO A RO (m3)]]/Tabla2[[#This Row],[Q DE OPERACIÓN (m3/h)]]</f>
        <v>1.3341636363636364</v>
      </c>
      <c r="J20" s="273">
        <v>0</v>
      </c>
      <c r="K20" s="274">
        <v>50</v>
      </c>
      <c r="L20" s="275">
        <v>32</v>
      </c>
      <c r="M20" s="274">
        <v>0</v>
      </c>
      <c r="N20" s="275">
        <v>0</v>
      </c>
      <c r="O20" s="188">
        <v>0</v>
      </c>
      <c r="P20" s="199">
        <v>438.59649122807019</v>
      </c>
      <c r="Q20" s="182">
        <v>280.70175438596493</v>
      </c>
      <c r="R20" s="199">
        <v>0</v>
      </c>
      <c r="S20" s="199">
        <v>0</v>
      </c>
      <c r="T20" s="184">
        <v>0</v>
      </c>
      <c r="U20" s="185">
        <v>43.859649122807014</v>
      </c>
      <c r="V20" s="185">
        <v>0</v>
      </c>
      <c r="W20" s="185">
        <v>0</v>
      </c>
      <c r="X20" s="186">
        <v>0</v>
      </c>
      <c r="Y20" s="191">
        <v>1.18</v>
      </c>
      <c r="Z20" s="191">
        <v>1.28</v>
      </c>
      <c r="AA20" s="191">
        <v>1.2</v>
      </c>
      <c r="AB20" s="191">
        <v>1.53</v>
      </c>
      <c r="AC20" s="191">
        <v>1.2</v>
      </c>
      <c r="AD20" s="200">
        <v>0</v>
      </c>
      <c r="AE20" s="201">
        <v>56.140350877192979</v>
      </c>
      <c r="AF20" s="201">
        <v>0</v>
      </c>
      <c r="AG20" s="201">
        <v>0</v>
      </c>
      <c r="AH20" s="202">
        <v>0</v>
      </c>
      <c r="AI20" s="401">
        <v>73.379000000000005</v>
      </c>
      <c r="AJ20" s="310">
        <v>55</v>
      </c>
      <c r="AK20" s="128">
        <f t="shared" si="5"/>
        <v>0</v>
      </c>
      <c r="AL20" s="129">
        <f t="shared" si="6"/>
        <v>765.07380690923799</v>
      </c>
      <c r="AM20" s="129">
        <f t="shared" si="7"/>
        <v>0</v>
      </c>
      <c r="AN20" s="129">
        <f t="shared" si="8"/>
        <v>0</v>
      </c>
      <c r="AO20" s="130">
        <f t="shared" si="9"/>
        <v>0</v>
      </c>
      <c r="AP20" s="104">
        <f t="shared" si="13"/>
        <v>1550</v>
      </c>
      <c r="AQ20" s="105">
        <f t="shared" si="13"/>
        <v>19462</v>
      </c>
      <c r="AR20" s="105">
        <f t="shared" si="13"/>
        <v>36854</v>
      </c>
      <c r="AS20" s="105">
        <f t="shared" si="13"/>
        <v>1560</v>
      </c>
      <c r="AT20" s="106">
        <f t="shared" si="13"/>
        <v>3640</v>
      </c>
      <c r="AU20" s="104">
        <f t="shared" si="1"/>
        <v>69614.035087719298</v>
      </c>
      <c r="AV20" s="105">
        <f t="shared" si="11"/>
        <v>0</v>
      </c>
      <c r="AW20" s="105">
        <f t="shared" si="12"/>
        <v>0</v>
      </c>
      <c r="AX20" s="105">
        <f t="shared" si="2"/>
        <v>0</v>
      </c>
      <c r="AY20" s="106">
        <f t="shared" si="3"/>
        <v>6677.4890000000014</v>
      </c>
      <c r="AZ20" s="104">
        <f t="shared" si="4"/>
        <v>76291.524087719299</v>
      </c>
      <c r="BA20" s="105">
        <v>1000</v>
      </c>
      <c r="BB20" s="105">
        <f>AZ20/AI48</f>
        <v>292.02720819956249</v>
      </c>
      <c r="BC20" s="99"/>
      <c r="BD20" s="100"/>
      <c r="BF20" s="307"/>
      <c r="BH20" s="308"/>
      <c r="BI20" s="307"/>
    </row>
    <row r="21" spans="1:61" ht="15" thickBot="1" x14ac:dyDescent="0.35">
      <c r="A21" s="147">
        <f>+A20</f>
        <v>45998</v>
      </c>
      <c r="B21" s="206">
        <f>DAY(Tabla2[[#This Row],[FECHA]])</f>
        <v>7</v>
      </c>
      <c r="C21" s="132" t="s">
        <v>29</v>
      </c>
      <c r="D21" s="125"/>
      <c r="E21" s="126"/>
      <c r="F21" s="127"/>
      <c r="G21" s="127"/>
      <c r="H21" s="126"/>
      <c r="I21" s="290">
        <f>Tabla2[[#This Row],[VOLUMEN ENVIADO A RO (m3)]]/Tabla2[[#This Row],[Q DE OPERACIÓN (m3/h)]]</f>
        <v>1.3341636363636364</v>
      </c>
      <c r="J21" s="273">
        <v>0</v>
      </c>
      <c r="K21" s="277">
        <v>45</v>
      </c>
      <c r="L21" s="278">
        <v>32</v>
      </c>
      <c r="M21" s="277">
        <v>0</v>
      </c>
      <c r="N21" s="278">
        <v>0</v>
      </c>
      <c r="O21" s="188">
        <v>0</v>
      </c>
      <c r="P21" s="189">
        <v>394.73684210526318</v>
      </c>
      <c r="Q21" s="189">
        <v>280.70175438596493</v>
      </c>
      <c r="R21" s="189">
        <v>0</v>
      </c>
      <c r="S21" s="189">
        <v>0</v>
      </c>
      <c r="T21" s="184">
        <v>0</v>
      </c>
      <c r="U21" s="185">
        <v>26.31578947368422</v>
      </c>
      <c r="V21" s="185">
        <v>0</v>
      </c>
      <c r="W21" s="185">
        <v>0</v>
      </c>
      <c r="X21" s="186">
        <v>0</v>
      </c>
      <c r="Y21" s="191">
        <v>1.18</v>
      </c>
      <c r="Z21" s="191">
        <v>1.28</v>
      </c>
      <c r="AA21" s="191">
        <v>1.2</v>
      </c>
      <c r="AB21" s="191">
        <v>1.53</v>
      </c>
      <c r="AC21" s="191">
        <v>1.2</v>
      </c>
      <c r="AD21" s="184">
        <v>0</v>
      </c>
      <c r="AE21" s="185">
        <v>33.684210526315802</v>
      </c>
      <c r="AF21" s="185">
        <v>0</v>
      </c>
      <c r="AG21" s="185">
        <v>0</v>
      </c>
      <c r="AH21" s="186">
        <v>0</v>
      </c>
      <c r="AI21" s="402">
        <v>73.379000000000005</v>
      </c>
      <c r="AJ21" s="310">
        <v>55</v>
      </c>
      <c r="AK21" s="128">
        <f t="shared" si="5"/>
        <v>0</v>
      </c>
      <c r="AL21" s="129">
        <f t="shared" si="6"/>
        <v>459.04428414554297</v>
      </c>
      <c r="AM21" s="129">
        <f t="shared" si="7"/>
        <v>0</v>
      </c>
      <c r="AN21" s="129">
        <f t="shared" si="8"/>
        <v>0</v>
      </c>
      <c r="AO21" s="130">
        <f t="shared" si="9"/>
        <v>0</v>
      </c>
      <c r="AP21" s="104">
        <f t="shared" si="13"/>
        <v>1550</v>
      </c>
      <c r="AQ21" s="105">
        <f t="shared" si="13"/>
        <v>19462</v>
      </c>
      <c r="AR21" s="105">
        <f t="shared" si="13"/>
        <v>36854</v>
      </c>
      <c r="AS21" s="105">
        <f t="shared" si="13"/>
        <v>1560</v>
      </c>
      <c r="AT21" s="106">
        <f t="shared" si="13"/>
        <v>3640</v>
      </c>
      <c r="AU21" s="104">
        <f t="shared" si="1"/>
        <v>41768.421052631602</v>
      </c>
      <c r="AV21" s="105">
        <f t="shared" si="11"/>
        <v>0</v>
      </c>
      <c r="AW21" s="105">
        <f t="shared" si="12"/>
        <v>0</v>
      </c>
      <c r="AX21" s="105">
        <f t="shared" si="2"/>
        <v>0</v>
      </c>
      <c r="AY21" s="106">
        <f t="shared" si="3"/>
        <v>6677.4890000000014</v>
      </c>
      <c r="AZ21" s="104">
        <f t="shared" si="4"/>
        <v>48445.910052631603</v>
      </c>
      <c r="BA21" s="105">
        <v>1000</v>
      </c>
      <c r="BB21" s="105">
        <f>AZ21/AI51</f>
        <v>431.05178443483942</v>
      </c>
      <c r="BC21" s="99"/>
      <c r="BD21" s="100"/>
      <c r="BF21" s="307"/>
      <c r="BH21" s="308"/>
      <c r="BI21" s="307"/>
    </row>
    <row r="22" spans="1:61" ht="15" thickBot="1" x14ac:dyDescent="0.35">
      <c r="A22" s="148">
        <f>+A21</f>
        <v>45998</v>
      </c>
      <c r="B22" s="207">
        <f>DAY(Tabla2[[#This Row],[FECHA]])</f>
        <v>7</v>
      </c>
      <c r="C22" s="137" t="s">
        <v>30</v>
      </c>
      <c r="D22" s="149"/>
      <c r="E22" s="150"/>
      <c r="F22" s="151"/>
      <c r="G22" s="151"/>
      <c r="H22" s="150"/>
      <c r="I22" s="290">
        <f>Tabla2[[#This Row],[VOLUMEN ENVIADO A RO (m3)]]/Tabla2[[#This Row],[Q DE OPERACIÓN (m3/h)]]</f>
        <v>2.668381818181818</v>
      </c>
      <c r="J22" s="273">
        <v>0</v>
      </c>
      <c r="K22" s="280">
        <v>42</v>
      </c>
      <c r="L22" s="281">
        <v>32</v>
      </c>
      <c r="M22" s="280">
        <v>0</v>
      </c>
      <c r="N22" s="281">
        <v>0</v>
      </c>
      <c r="O22" s="188">
        <v>0</v>
      </c>
      <c r="P22" s="193">
        <v>368.42105263157896</v>
      </c>
      <c r="Q22" s="193">
        <v>280.70175438596493</v>
      </c>
      <c r="R22" s="193">
        <v>0</v>
      </c>
      <c r="S22" s="193">
        <v>0</v>
      </c>
      <c r="T22" s="184">
        <v>0</v>
      </c>
      <c r="U22" s="185">
        <v>0</v>
      </c>
      <c r="V22" s="185">
        <v>71.929824561403507</v>
      </c>
      <c r="W22" s="185">
        <v>0</v>
      </c>
      <c r="X22" s="186">
        <v>0</v>
      </c>
      <c r="Y22" s="191">
        <v>1.18</v>
      </c>
      <c r="Z22" s="191">
        <v>1.28</v>
      </c>
      <c r="AA22" s="191">
        <v>1.2</v>
      </c>
      <c r="AB22" s="191">
        <v>1.53</v>
      </c>
      <c r="AC22" s="191">
        <v>1.2</v>
      </c>
      <c r="AD22" s="195">
        <v>0</v>
      </c>
      <c r="AE22" s="196">
        <v>0</v>
      </c>
      <c r="AF22" s="196">
        <v>86.315789473684205</v>
      </c>
      <c r="AG22" s="196">
        <v>0</v>
      </c>
      <c r="AH22" s="197">
        <v>0</v>
      </c>
      <c r="AI22" s="403">
        <v>146.761</v>
      </c>
      <c r="AJ22" s="310">
        <v>55</v>
      </c>
      <c r="AK22" s="128">
        <f t="shared" si="5"/>
        <v>0</v>
      </c>
      <c r="AL22" s="129">
        <f t="shared" si="6"/>
        <v>0</v>
      </c>
      <c r="AM22" s="129">
        <f t="shared" si="7"/>
        <v>588.13846644329351</v>
      </c>
      <c r="AN22" s="129">
        <f t="shared" si="8"/>
        <v>0</v>
      </c>
      <c r="AO22" s="130">
        <f t="shared" si="9"/>
        <v>0</v>
      </c>
      <c r="AP22" s="104">
        <f t="shared" si="13"/>
        <v>1550</v>
      </c>
      <c r="AQ22" s="105">
        <f t="shared" si="13"/>
        <v>19462</v>
      </c>
      <c r="AR22" s="105">
        <f t="shared" si="13"/>
        <v>36854</v>
      </c>
      <c r="AS22" s="105">
        <f t="shared" si="13"/>
        <v>1560</v>
      </c>
      <c r="AT22" s="106">
        <f t="shared" si="13"/>
        <v>3640</v>
      </c>
      <c r="AU22" s="107">
        <f t="shared" si="1"/>
        <v>0</v>
      </c>
      <c r="AV22" s="108">
        <f t="shared" si="11"/>
        <v>20158.534736842106</v>
      </c>
      <c r="AW22" s="108">
        <f t="shared" si="12"/>
        <v>0</v>
      </c>
      <c r="AX22" s="108">
        <f t="shared" si="2"/>
        <v>0</v>
      </c>
      <c r="AY22" s="109">
        <f t="shared" si="3"/>
        <v>13355.251</v>
      </c>
      <c r="AZ22" s="107">
        <f t="shared" si="4"/>
        <v>33513.78573684211</v>
      </c>
      <c r="BA22" s="108">
        <v>1000</v>
      </c>
      <c r="BB22" s="108" t="e">
        <f>AZ22/AI54</f>
        <v>#DIV/0!</v>
      </c>
      <c r="BC22" s="98"/>
      <c r="BD22" s="101"/>
      <c r="BF22" s="307"/>
      <c r="BH22" s="308"/>
      <c r="BI22" s="307"/>
    </row>
    <row r="23" spans="1:61" ht="15" thickBot="1" x14ac:dyDescent="0.35">
      <c r="A23" s="143">
        <f>+A22+1</f>
        <v>45999</v>
      </c>
      <c r="B23" s="208">
        <f>DAY(Tabla2[[#This Row],[FECHA]])</f>
        <v>8</v>
      </c>
      <c r="C23" s="152" t="s">
        <v>28</v>
      </c>
      <c r="D23" s="144"/>
      <c r="E23" s="145"/>
      <c r="F23" s="146"/>
      <c r="G23" s="146"/>
      <c r="H23" s="145"/>
      <c r="I23" s="290">
        <f>Tabla2[[#This Row],[VOLUMEN ENVIADO A RO (m3)]]/Tabla2[[#This Row],[Q DE OPERACIÓN (m3/h)]]</f>
        <v>0.19094545454545456</v>
      </c>
      <c r="J23" s="273">
        <v>0</v>
      </c>
      <c r="K23" s="274">
        <v>42</v>
      </c>
      <c r="L23" s="275">
        <v>58</v>
      </c>
      <c r="M23" s="274">
        <v>0</v>
      </c>
      <c r="N23" s="275">
        <v>0</v>
      </c>
      <c r="O23" s="188">
        <v>0</v>
      </c>
      <c r="P23" s="199">
        <v>368.42105263157896</v>
      </c>
      <c r="Q23" s="182">
        <v>508.77192982456143</v>
      </c>
      <c r="R23" s="199">
        <v>0</v>
      </c>
      <c r="S23" s="199">
        <v>0</v>
      </c>
      <c r="T23" s="184">
        <v>0</v>
      </c>
      <c r="U23" s="185">
        <v>0</v>
      </c>
      <c r="V23" s="185">
        <v>0</v>
      </c>
      <c r="W23" s="185">
        <v>0</v>
      </c>
      <c r="X23" s="186">
        <v>0</v>
      </c>
      <c r="Y23" s="191">
        <v>1.18</v>
      </c>
      <c r="Z23" s="191">
        <v>1.28</v>
      </c>
      <c r="AA23" s="191">
        <v>1.2</v>
      </c>
      <c r="AB23" s="191">
        <v>1.53</v>
      </c>
      <c r="AC23" s="191">
        <v>1.2</v>
      </c>
      <c r="AD23" s="200">
        <v>0</v>
      </c>
      <c r="AE23" s="201">
        <v>0</v>
      </c>
      <c r="AF23" s="201">
        <v>0</v>
      </c>
      <c r="AG23" s="201">
        <v>0</v>
      </c>
      <c r="AH23" s="202">
        <v>0</v>
      </c>
      <c r="AI23" s="401">
        <v>10.502000000000001</v>
      </c>
      <c r="AJ23" s="310">
        <v>55</v>
      </c>
      <c r="AK23" s="128">
        <f t="shared" si="5"/>
        <v>0</v>
      </c>
      <c r="AL23" s="129">
        <f t="shared" si="6"/>
        <v>0</v>
      </c>
      <c r="AM23" s="129">
        <f t="shared" si="7"/>
        <v>0</v>
      </c>
      <c r="AN23" s="129">
        <f t="shared" si="8"/>
        <v>0</v>
      </c>
      <c r="AO23" s="130">
        <f t="shared" si="9"/>
        <v>0</v>
      </c>
      <c r="AP23" s="104">
        <f t="shared" si="13"/>
        <v>1550</v>
      </c>
      <c r="AQ23" s="105">
        <f t="shared" si="13"/>
        <v>19462</v>
      </c>
      <c r="AR23" s="105">
        <f t="shared" si="13"/>
        <v>36854</v>
      </c>
      <c r="AS23" s="105">
        <f t="shared" si="13"/>
        <v>1560</v>
      </c>
      <c r="AT23" s="106">
        <f t="shared" si="13"/>
        <v>3640</v>
      </c>
      <c r="AU23" s="104">
        <f t="shared" si="1"/>
        <v>0</v>
      </c>
      <c r="AV23" s="105">
        <f t="shared" si="11"/>
        <v>0</v>
      </c>
      <c r="AW23" s="105">
        <f t="shared" si="12"/>
        <v>0</v>
      </c>
      <c r="AX23" s="105">
        <f t="shared" si="2"/>
        <v>0</v>
      </c>
      <c r="AY23" s="106">
        <f t="shared" si="3"/>
        <v>955.68200000000002</v>
      </c>
      <c r="AZ23" s="104">
        <f t="shared" si="4"/>
        <v>955.68200000000002</v>
      </c>
      <c r="BA23" s="105">
        <v>1000</v>
      </c>
      <c r="BB23" s="105">
        <f>AZ23/AI57</f>
        <v>3.7137661025511495</v>
      </c>
      <c r="BC23" s="99"/>
      <c r="BD23" s="100"/>
      <c r="BF23" s="307"/>
      <c r="BH23" s="308"/>
      <c r="BI23" s="307"/>
    </row>
    <row r="24" spans="1:61" ht="15" thickBot="1" x14ac:dyDescent="0.35">
      <c r="A24" s="147">
        <f>+A23</f>
        <v>45999</v>
      </c>
      <c r="B24" s="206">
        <f>DAY(Tabla2[[#This Row],[FECHA]])</f>
        <v>8</v>
      </c>
      <c r="C24" s="132" t="s">
        <v>29</v>
      </c>
      <c r="D24" s="125"/>
      <c r="E24" s="126"/>
      <c r="F24" s="127"/>
      <c r="G24" s="127"/>
      <c r="H24" s="126"/>
      <c r="I24" s="290">
        <f>Tabla2[[#This Row],[VOLUMEN ENVIADO A RO (m3)]]/Tabla2[[#This Row],[Q DE OPERACIÓN (m3/h)]]</f>
        <v>3.9779999999999998</v>
      </c>
      <c r="J24" s="273">
        <v>0</v>
      </c>
      <c r="K24" s="277">
        <v>42</v>
      </c>
      <c r="L24" s="278">
        <v>58</v>
      </c>
      <c r="M24" s="277">
        <v>0</v>
      </c>
      <c r="N24" s="278">
        <v>0</v>
      </c>
      <c r="O24" s="188">
        <v>0</v>
      </c>
      <c r="P24" s="189">
        <v>368.42105263157896</v>
      </c>
      <c r="Q24" s="189">
        <v>508.77192982456143</v>
      </c>
      <c r="R24" s="189">
        <v>0</v>
      </c>
      <c r="S24" s="189">
        <v>0</v>
      </c>
      <c r="T24" s="184">
        <v>0</v>
      </c>
      <c r="U24" s="185">
        <v>17.543859649122794</v>
      </c>
      <c r="V24" s="185">
        <v>0</v>
      </c>
      <c r="W24" s="185">
        <v>0</v>
      </c>
      <c r="X24" s="186">
        <v>0</v>
      </c>
      <c r="Y24" s="191">
        <v>1.18</v>
      </c>
      <c r="Z24" s="191">
        <v>1.28</v>
      </c>
      <c r="AA24" s="191">
        <v>1.2</v>
      </c>
      <c r="AB24" s="191">
        <v>1.53</v>
      </c>
      <c r="AC24" s="191">
        <v>1.2</v>
      </c>
      <c r="AD24" s="184">
        <v>0</v>
      </c>
      <c r="AE24" s="185">
        <v>22.456140350877178</v>
      </c>
      <c r="AF24" s="185">
        <v>0</v>
      </c>
      <c r="AG24" s="185">
        <v>0</v>
      </c>
      <c r="AH24" s="186">
        <v>0</v>
      </c>
      <c r="AI24" s="402">
        <v>218.79</v>
      </c>
      <c r="AJ24" s="310">
        <v>55</v>
      </c>
      <c r="AK24" s="128">
        <f t="shared" si="5"/>
        <v>0</v>
      </c>
      <c r="AL24" s="129">
        <f t="shared" si="6"/>
        <v>102.63787353570628</v>
      </c>
      <c r="AM24" s="129">
        <f t="shared" si="7"/>
        <v>0</v>
      </c>
      <c r="AN24" s="129">
        <f t="shared" si="8"/>
        <v>0</v>
      </c>
      <c r="AO24" s="130">
        <f t="shared" si="9"/>
        <v>0</v>
      </c>
      <c r="AP24" s="104">
        <f t="shared" si="13"/>
        <v>1550</v>
      </c>
      <c r="AQ24" s="105">
        <f t="shared" si="13"/>
        <v>19462</v>
      </c>
      <c r="AR24" s="105">
        <f t="shared" si="13"/>
        <v>36854</v>
      </c>
      <c r="AS24" s="105">
        <f t="shared" si="13"/>
        <v>1560</v>
      </c>
      <c r="AT24" s="106">
        <f t="shared" si="13"/>
        <v>3640</v>
      </c>
      <c r="AU24" s="104">
        <f t="shared" si="1"/>
        <v>27845.614035087699</v>
      </c>
      <c r="AV24" s="105">
        <f t="shared" si="11"/>
        <v>0</v>
      </c>
      <c r="AW24" s="105">
        <f t="shared" si="12"/>
        <v>0</v>
      </c>
      <c r="AX24" s="105">
        <f t="shared" si="2"/>
        <v>0</v>
      </c>
      <c r="AY24" s="106">
        <f t="shared" si="3"/>
        <v>19909.89</v>
      </c>
      <c r="AZ24" s="104">
        <f t="shared" si="4"/>
        <v>47755.504035087695</v>
      </c>
      <c r="BA24" s="105">
        <v>1000</v>
      </c>
      <c r="BB24" s="105">
        <f>AZ24/AI60</f>
        <v>314.54101428666826</v>
      </c>
      <c r="BC24" s="99"/>
      <c r="BD24" s="100"/>
      <c r="BF24" s="307"/>
      <c r="BH24" s="308"/>
      <c r="BI24" s="307"/>
    </row>
    <row r="25" spans="1:61" ht="15" thickBot="1" x14ac:dyDescent="0.35">
      <c r="A25" s="148">
        <f>+A24</f>
        <v>45999</v>
      </c>
      <c r="B25" s="207">
        <f>DAY(Tabla2[[#This Row],[FECHA]])</f>
        <v>8</v>
      </c>
      <c r="C25" s="137" t="s">
        <v>30</v>
      </c>
      <c r="D25" s="149"/>
      <c r="E25" s="150"/>
      <c r="F25" s="151"/>
      <c r="G25" s="151"/>
      <c r="H25" s="150"/>
      <c r="I25" s="290">
        <f>Tabla2[[#This Row],[VOLUMEN ENVIADO A RO (m3)]]/Tabla2[[#This Row],[Q DE OPERACIÓN (m3/h)]]</f>
        <v>6.0241090909090911</v>
      </c>
      <c r="J25" s="273">
        <v>0</v>
      </c>
      <c r="K25" s="280">
        <v>40</v>
      </c>
      <c r="L25" s="281">
        <v>58</v>
      </c>
      <c r="M25" s="280">
        <v>0</v>
      </c>
      <c r="N25" s="281">
        <v>0</v>
      </c>
      <c r="O25" s="188">
        <v>0</v>
      </c>
      <c r="P25" s="193">
        <v>350.87719298245617</v>
      </c>
      <c r="Q25" s="193">
        <v>508.77192982456143</v>
      </c>
      <c r="R25" s="193">
        <v>0</v>
      </c>
      <c r="S25" s="193">
        <v>0</v>
      </c>
      <c r="T25" s="184">
        <v>0</v>
      </c>
      <c r="U25" s="185">
        <v>0</v>
      </c>
      <c r="V25" s="185">
        <v>35.087719298245588</v>
      </c>
      <c r="W25" s="185">
        <v>0</v>
      </c>
      <c r="X25" s="186">
        <v>0</v>
      </c>
      <c r="Y25" s="191">
        <v>1.18</v>
      </c>
      <c r="Z25" s="191">
        <v>1.28</v>
      </c>
      <c r="AA25" s="191">
        <v>1.2</v>
      </c>
      <c r="AB25" s="191">
        <v>1.53</v>
      </c>
      <c r="AC25" s="191">
        <v>1.2</v>
      </c>
      <c r="AD25" s="195">
        <v>0</v>
      </c>
      <c r="AE25" s="196">
        <v>0</v>
      </c>
      <c r="AF25" s="196">
        <v>42.105263157894704</v>
      </c>
      <c r="AG25" s="196">
        <v>0</v>
      </c>
      <c r="AH25" s="197">
        <v>0</v>
      </c>
      <c r="AI25" s="403">
        <v>331.32600000000002</v>
      </c>
      <c r="AJ25" s="310">
        <v>55</v>
      </c>
      <c r="AK25" s="128">
        <f t="shared" si="5"/>
        <v>0</v>
      </c>
      <c r="AL25" s="129">
        <f t="shared" si="6"/>
        <v>0</v>
      </c>
      <c r="AM25" s="129">
        <f t="shared" si="7"/>
        <v>127.08107168738555</v>
      </c>
      <c r="AN25" s="129">
        <f t="shared" si="8"/>
        <v>0</v>
      </c>
      <c r="AO25" s="130">
        <f t="shared" si="9"/>
        <v>0</v>
      </c>
      <c r="AP25" s="104">
        <f t="shared" si="13"/>
        <v>1550</v>
      </c>
      <c r="AQ25" s="105">
        <f t="shared" si="13"/>
        <v>19462</v>
      </c>
      <c r="AR25" s="105">
        <f t="shared" si="13"/>
        <v>36854</v>
      </c>
      <c r="AS25" s="105">
        <f t="shared" si="13"/>
        <v>1560</v>
      </c>
      <c r="AT25" s="106">
        <f t="shared" si="13"/>
        <v>3640</v>
      </c>
      <c r="AU25" s="107">
        <f t="shared" si="1"/>
        <v>0</v>
      </c>
      <c r="AV25" s="108">
        <f t="shared" si="11"/>
        <v>9833.4315789473603</v>
      </c>
      <c r="AW25" s="108">
        <f t="shared" si="12"/>
        <v>0</v>
      </c>
      <c r="AX25" s="108">
        <f t="shared" si="2"/>
        <v>0</v>
      </c>
      <c r="AY25" s="109">
        <f t="shared" si="3"/>
        <v>30150.666000000005</v>
      </c>
      <c r="AZ25" s="107">
        <f t="shared" si="4"/>
        <v>39984.097578947367</v>
      </c>
      <c r="BA25" s="108">
        <v>1000</v>
      </c>
      <c r="BB25" s="108">
        <f>AZ25/AI63</f>
        <v>145.68756382358731</v>
      </c>
      <c r="BC25" s="98"/>
      <c r="BD25" s="101"/>
    </row>
    <row r="26" spans="1:61" ht="15" thickBot="1" x14ac:dyDescent="0.35">
      <c r="A26" s="143">
        <f>+A25+1</f>
        <v>46000</v>
      </c>
      <c r="B26" s="208">
        <f>DAY(Tabla2[[#This Row],[FECHA]])</f>
        <v>9</v>
      </c>
      <c r="C26" s="152" t="s">
        <v>28</v>
      </c>
      <c r="D26" s="144"/>
      <c r="E26" s="145"/>
      <c r="F26" s="146"/>
      <c r="G26" s="146"/>
      <c r="H26" s="145"/>
      <c r="I26" s="290">
        <f>Tabla2[[#This Row],[VOLUMEN ENVIADO A RO (m3)]]/Tabla2[[#This Row],[Q DE OPERACIÓN (m3/h)]]</f>
        <v>0.85053636363636365</v>
      </c>
      <c r="J26" s="273">
        <v>0</v>
      </c>
      <c r="K26" s="274">
        <v>40</v>
      </c>
      <c r="L26" s="275">
        <v>54</v>
      </c>
      <c r="M26" s="274">
        <v>0</v>
      </c>
      <c r="N26" s="275">
        <v>0</v>
      </c>
      <c r="O26" s="188">
        <v>0</v>
      </c>
      <c r="P26" s="199">
        <v>350.87719298245617</v>
      </c>
      <c r="Q26" s="182">
        <v>473.68421052631584</v>
      </c>
      <c r="R26" s="199">
        <v>0</v>
      </c>
      <c r="S26" s="199">
        <v>0</v>
      </c>
      <c r="T26" s="184">
        <v>0</v>
      </c>
      <c r="U26" s="185">
        <v>0</v>
      </c>
      <c r="V26" s="185">
        <v>0</v>
      </c>
      <c r="W26" s="185">
        <v>0</v>
      </c>
      <c r="X26" s="186">
        <v>0</v>
      </c>
      <c r="Y26" s="191">
        <v>1.18</v>
      </c>
      <c r="Z26" s="191">
        <v>1.28</v>
      </c>
      <c r="AA26" s="191">
        <v>1.2</v>
      </c>
      <c r="AB26" s="191">
        <v>1.53</v>
      </c>
      <c r="AC26" s="191">
        <v>1.2</v>
      </c>
      <c r="AD26" s="200">
        <v>0</v>
      </c>
      <c r="AE26" s="201">
        <v>0</v>
      </c>
      <c r="AF26" s="201">
        <v>0</v>
      </c>
      <c r="AG26" s="201">
        <v>0</v>
      </c>
      <c r="AH26" s="202">
        <v>0</v>
      </c>
      <c r="AI26" s="401">
        <v>46.779499999999999</v>
      </c>
      <c r="AJ26" s="310">
        <v>55</v>
      </c>
      <c r="AK26" s="128">
        <f t="shared" si="5"/>
        <v>0</v>
      </c>
      <c r="AL26" s="129">
        <f t="shared" si="6"/>
        <v>0</v>
      </c>
      <c r="AM26" s="129">
        <f t="shared" si="7"/>
        <v>0</v>
      </c>
      <c r="AN26" s="129">
        <f t="shared" si="8"/>
        <v>0</v>
      </c>
      <c r="AO26" s="130">
        <f t="shared" si="9"/>
        <v>0</v>
      </c>
      <c r="AP26" s="104">
        <f t="shared" si="13"/>
        <v>1550</v>
      </c>
      <c r="AQ26" s="105">
        <f t="shared" si="13"/>
        <v>19462</v>
      </c>
      <c r="AR26" s="105">
        <f t="shared" si="13"/>
        <v>36854</v>
      </c>
      <c r="AS26" s="105">
        <f t="shared" si="13"/>
        <v>1560</v>
      </c>
      <c r="AT26" s="106">
        <f t="shared" si="13"/>
        <v>3640</v>
      </c>
      <c r="AU26" s="104">
        <f t="shared" si="1"/>
        <v>0</v>
      </c>
      <c r="AV26" s="105">
        <f t="shared" si="11"/>
        <v>0</v>
      </c>
      <c r="AW26" s="105">
        <f t="shared" si="12"/>
        <v>0</v>
      </c>
      <c r="AX26" s="105">
        <f t="shared" si="2"/>
        <v>0</v>
      </c>
      <c r="AY26" s="106">
        <f t="shared" si="3"/>
        <v>4256.9345000000003</v>
      </c>
      <c r="AZ26" s="104">
        <f t="shared" si="4"/>
        <v>4256.9345000000003</v>
      </c>
      <c r="BA26" s="105">
        <v>1000</v>
      </c>
      <c r="BB26" s="105" t="e">
        <f>AZ26/#REF!</f>
        <v>#REF!</v>
      </c>
      <c r="BC26" s="99"/>
      <c r="BD26" s="100"/>
    </row>
    <row r="27" spans="1:61" ht="15" thickBot="1" x14ac:dyDescent="0.35">
      <c r="A27" s="147">
        <f>+A26</f>
        <v>46000</v>
      </c>
      <c r="B27" s="206">
        <f>DAY(Tabla2[[#This Row],[FECHA]])</f>
        <v>9</v>
      </c>
      <c r="C27" s="132" t="s">
        <v>29</v>
      </c>
      <c r="D27" s="125"/>
      <c r="E27" s="126"/>
      <c r="F27" s="127"/>
      <c r="G27" s="127"/>
      <c r="H27" s="126"/>
      <c r="I27" s="290">
        <f>Tabla2[[#This Row],[VOLUMEN ENVIADO A RO (m3)]]/Tabla2[[#This Row],[Q DE OPERACIÓN (m3/h)]]</f>
        <v>0.85053636363636365</v>
      </c>
      <c r="J27" s="273">
        <v>0</v>
      </c>
      <c r="K27" s="277">
        <v>40</v>
      </c>
      <c r="L27" s="278">
        <v>54</v>
      </c>
      <c r="M27" s="277">
        <v>0</v>
      </c>
      <c r="N27" s="278">
        <v>0</v>
      </c>
      <c r="O27" s="188">
        <v>0</v>
      </c>
      <c r="P27" s="189">
        <v>350.87719298245617</v>
      </c>
      <c r="Q27" s="189">
        <v>473.68421052631584</v>
      </c>
      <c r="R27" s="189">
        <v>0</v>
      </c>
      <c r="S27" s="189">
        <v>0</v>
      </c>
      <c r="T27" s="184">
        <v>0</v>
      </c>
      <c r="U27" s="185">
        <v>17.543859649122794</v>
      </c>
      <c r="V27" s="185">
        <v>0</v>
      </c>
      <c r="W27" s="185">
        <v>0</v>
      </c>
      <c r="X27" s="186">
        <v>0</v>
      </c>
      <c r="Y27" s="191">
        <v>1.18</v>
      </c>
      <c r="Z27" s="191">
        <v>1.28</v>
      </c>
      <c r="AA27" s="191">
        <v>1.2</v>
      </c>
      <c r="AB27" s="191">
        <v>1.53</v>
      </c>
      <c r="AC27" s="191">
        <v>1.2</v>
      </c>
      <c r="AD27" s="184">
        <v>0</v>
      </c>
      <c r="AE27" s="185">
        <v>22.456140350877178</v>
      </c>
      <c r="AF27" s="185">
        <v>0</v>
      </c>
      <c r="AG27" s="185">
        <v>0</v>
      </c>
      <c r="AH27" s="186">
        <v>0</v>
      </c>
      <c r="AI27" s="402">
        <v>46.779499999999999</v>
      </c>
      <c r="AJ27" s="310">
        <v>55</v>
      </c>
      <c r="AK27" s="128">
        <f t="shared" si="5"/>
        <v>0</v>
      </c>
      <c r="AL27" s="129">
        <f t="shared" si="6"/>
        <v>480.04233373330578</v>
      </c>
      <c r="AM27" s="129">
        <f t="shared" si="7"/>
        <v>0</v>
      </c>
      <c r="AN27" s="129">
        <f t="shared" si="8"/>
        <v>0</v>
      </c>
      <c r="AO27" s="130">
        <f t="shared" si="9"/>
        <v>0</v>
      </c>
      <c r="AP27" s="104">
        <f t="shared" si="13"/>
        <v>1550</v>
      </c>
      <c r="AQ27" s="105">
        <f t="shared" si="13"/>
        <v>19462</v>
      </c>
      <c r="AR27" s="105">
        <f t="shared" si="13"/>
        <v>36854</v>
      </c>
      <c r="AS27" s="105">
        <f t="shared" si="13"/>
        <v>1560</v>
      </c>
      <c r="AT27" s="106">
        <f t="shared" si="13"/>
        <v>3640</v>
      </c>
      <c r="AU27" s="104">
        <f t="shared" si="1"/>
        <v>27845.614035087699</v>
      </c>
      <c r="AV27" s="105">
        <f t="shared" si="11"/>
        <v>0</v>
      </c>
      <c r="AW27" s="105">
        <f t="shared" si="12"/>
        <v>0</v>
      </c>
      <c r="AX27" s="105">
        <f t="shared" si="2"/>
        <v>0</v>
      </c>
      <c r="AY27" s="106">
        <f t="shared" si="3"/>
        <v>4256.9345000000003</v>
      </c>
      <c r="AZ27" s="104">
        <f t="shared" si="4"/>
        <v>32102.548535087699</v>
      </c>
      <c r="BA27" s="105">
        <v>1000</v>
      </c>
      <c r="BB27" s="105" t="e">
        <f>AZ27/#REF!</f>
        <v>#REF!</v>
      </c>
      <c r="BC27" s="99"/>
      <c r="BD27" s="100"/>
    </row>
    <row r="28" spans="1:61" ht="15" thickBot="1" x14ac:dyDescent="0.35">
      <c r="A28" s="148">
        <f>+A27</f>
        <v>46000</v>
      </c>
      <c r="B28" s="207">
        <f>DAY(Tabla2[[#This Row],[FECHA]])</f>
        <v>9</v>
      </c>
      <c r="C28" s="137" t="s">
        <v>30</v>
      </c>
      <c r="D28" s="149"/>
      <c r="E28" s="150"/>
      <c r="F28" s="151"/>
      <c r="G28" s="151"/>
      <c r="H28" s="150"/>
      <c r="I28" s="290">
        <f>Tabla2[[#This Row],[VOLUMEN ENVIADO A RO (m3)]]/Tabla2[[#This Row],[Q DE OPERACIÓN (m3/h)]]</f>
        <v>4.5947272727272725</v>
      </c>
      <c r="J28" s="273">
        <v>0</v>
      </c>
      <c r="K28" s="280">
        <v>38</v>
      </c>
      <c r="L28" s="281">
        <v>54</v>
      </c>
      <c r="M28" s="274">
        <v>0</v>
      </c>
      <c r="N28" s="281">
        <v>0</v>
      </c>
      <c r="O28" s="188">
        <v>0</v>
      </c>
      <c r="P28" s="193">
        <v>333.33333333333337</v>
      </c>
      <c r="Q28" s="193">
        <v>473.68421052631584</v>
      </c>
      <c r="R28" s="193">
        <v>0</v>
      </c>
      <c r="S28" s="193">
        <v>0</v>
      </c>
      <c r="T28" s="184">
        <v>0</v>
      </c>
      <c r="U28" s="185">
        <v>289.47368421052636</v>
      </c>
      <c r="V28" s="185">
        <v>17.543859649122851</v>
      </c>
      <c r="W28" s="185">
        <v>0</v>
      </c>
      <c r="X28" s="186">
        <v>0</v>
      </c>
      <c r="Y28" s="191">
        <v>1.18</v>
      </c>
      <c r="Z28" s="191">
        <v>1.28</v>
      </c>
      <c r="AA28" s="191">
        <v>1.2</v>
      </c>
      <c r="AB28" s="191">
        <v>1.53</v>
      </c>
      <c r="AC28" s="191">
        <v>1.2</v>
      </c>
      <c r="AD28" s="195">
        <v>0</v>
      </c>
      <c r="AE28" s="196">
        <v>370.52631578947376</v>
      </c>
      <c r="AF28" s="196">
        <v>21.05263157894742</v>
      </c>
      <c r="AG28" s="196">
        <v>0</v>
      </c>
      <c r="AH28" s="197">
        <v>0</v>
      </c>
      <c r="AI28" s="403">
        <v>252.71</v>
      </c>
      <c r="AJ28" s="310">
        <v>55</v>
      </c>
      <c r="AK28" s="128">
        <f t="shared" si="5"/>
        <v>0</v>
      </c>
      <c r="AL28" s="129">
        <f t="shared" si="6"/>
        <v>1466.2115301708432</v>
      </c>
      <c r="AM28" s="129">
        <f t="shared" si="7"/>
        <v>83.307473305161722</v>
      </c>
      <c r="AN28" s="129">
        <f t="shared" si="8"/>
        <v>0</v>
      </c>
      <c r="AO28" s="130">
        <f t="shared" si="9"/>
        <v>0</v>
      </c>
      <c r="AP28" s="104">
        <f t="shared" si="13"/>
        <v>1550</v>
      </c>
      <c r="AQ28" s="105">
        <f t="shared" si="13"/>
        <v>19462</v>
      </c>
      <c r="AR28" s="105">
        <f t="shared" si="13"/>
        <v>36854</v>
      </c>
      <c r="AS28" s="105">
        <f t="shared" si="13"/>
        <v>1560</v>
      </c>
      <c r="AT28" s="106">
        <f t="shared" si="13"/>
        <v>3640</v>
      </c>
      <c r="AU28" s="107">
        <f t="shared" si="1"/>
        <v>459452.63157894748</v>
      </c>
      <c r="AV28" s="108">
        <f t="shared" si="11"/>
        <v>4916.7157894736965</v>
      </c>
      <c r="AW28" s="108">
        <f t="shared" si="12"/>
        <v>0</v>
      </c>
      <c r="AX28" s="108">
        <f t="shared" si="2"/>
        <v>0</v>
      </c>
      <c r="AY28" s="109">
        <f t="shared" si="3"/>
        <v>22996.61</v>
      </c>
      <c r="AZ28" s="107">
        <f t="shared" si="4"/>
        <v>487365.95736842114</v>
      </c>
      <c r="BA28" s="108">
        <v>1000</v>
      </c>
      <c r="BB28" s="108" t="e">
        <f>AZ28/#REF!</f>
        <v>#REF!</v>
      </c>
      <c r="BC28" s="98"/>
      <c r="BD28" s="101"/>
    </row>
    <row r="29" spans="1:61" ht="15" thickBot="1" x14ac:dyDescent="0.35">
      <c r="A29" s="143">
        <f>+A28+1</f>
        <v>46001</v>
      </c>
      <c r="B29" s="208">
        <f>DAY(Tabla2[[#This Row],[FECHA]])</f>
        <v>10</v>
      </c>
      <c r="C29" s="152" t="s">
        <v>28</v>
      </c>
      <c r="D29" s="144"/>
      <c r="E29" s="145"/>
      <c r="F29" s="146"/>
      <c r="G29" s="146"/>
      <c r="H29" s="145"/>
      <c r="I29" s="290">
        <f>Tabla2[[#This Row],[VOLUMEN ENVIADO A RO (m3)]]/Tabla2[[#This Row],[Q DE OPERACIÓN (m3/h)]]</f>
        <v>2.6456727272727272</v>
      </c>
      <c r="J29" s="273">
        <v>0</v>
      </c>
      <c r="K29" s="274">
        <v>5</v>
      </c>
      <c r="L29" s="275">
        <v>52</v>
      </c>
      <c r="M29" s="274">
        <v>0</v>
      </c>
      <c r="N29" s="275">
        <v>0</v>
      </c>
      <c r="O29" s="188">
        <v>0</v>
      </c>
      <c r="P29" s="199">
        <v>43.859649122807021</v>
      </c>
      <c r="Q29" s="182">
        <v>456.14035087719299</v>
      </c>
      <c r="R29" s="199">
        <v>0</v>
      </c>
      <c r="S29" s="199">
        <v>0</v>
      </c>
      <c r="T29" s="184">
        <v>0</v>
      </c>
      <c r="U29" s="185">
        <v>0</v>
      </c>
      <c r="V29" s="185">
        <v>0</v>
      </c>
      <c r="W29" s="185">
        <v>0</v>
      </c>
      <c r="X29" s="186">
        <v>0</v>
      </c>
      <c r="Y29" s="191">
        <v>1.18</v>
      </c>
      <c r="Z29" s="191">
        <v>1.28</v>
      </c>
      <c r="AA29" s="191">
        <v>1.2</v>
      </c>
      <c r="AB29" s="191">
        <v>1.53</v>
      </c>
      <c r="AC29" s="191">
        <v>1.2</v>
      </c>
      <c r="AD29" s="200">
        <v>0</v>
      </c>
      <c r="AE29" s="201">
        <v>0</v>
      </c>
      <c r="AF29" s="201">
        <v>0</v>
      </c>
      <c r="AG29" s="201">
        <v>0</v>
      </c>
      <c r="AH29" s="202">
        <v>0</v>
      </c>
      <c r="AI29" s="401">
        <v>145.512</v>
      </c>
      <c r="AJ29" s="310">
        <v>55</v>
      </c>
      <c r="AK29" s="128">
        <f t="shared" si="5"/>
        <v>0</v>
      </c>
      <c r="AL29" s="129">
        <f t="shared" si="6"/>
        <v>0</v>
      </c>
      <c r="AM29" s="129">
        <f t="shared" si="7"/>
        <v>0</v>
      </c>
      <c r="AN29" s="129">
        <f t="shared" si="8"/>
        <v>0</v>
      </c>
      <c r="AO29" s="130">
        <f t="shared" si="9"/>
        <v>0</v>
      </c>
      <c r="AP29" s="104">
        <f t="shared" si="13"/>
        <v>1550</v>
      </c>
      <c r="AQ29" s="105">
        <f t="shared" si="13"/>
        <v>19462</v>
      </c>
      <c r="AR29" s="105">
        <f t="shared" si="13"/>
        <v>36854</v>
      </c>
      <c r="AS29" s="105">
        <f t="shared" si="13"/>
        <v>1560</v>
      </c>
      <c r="AT29" s="106">
        <f t="shared" si="13"/>
        <v>3640</v>
      </c>
      <c r="AU29" s="104">
        <f t="shared" si="1"/>
        <v>0</v>
      </c>
      <c r="AV29" s="105">
        <f t="shared" si="11"/>
        <v>0</v>
      </c>
      <c r="AW29" s="105">
        <f t="shared" si="12"/>
        <v>0</v>
      </c>
      <c r="AX29" s="105">
        <f t="shared" si="2"/>
        <v>0</v>
      </c>
      <c r="AY29" s="106">
        <f t="shared" si="3"/>
        <v>13241.592000000001</v>
      </c>
      <c r="AZ29" s="104">
        <f t="shared" si="4"/>
        <v>13241.592000000001</v>
      </c>
      <c r="BA29" s="105">
        <v>1000</v>
      </c>
      <c r="BB29" s="105" t="e">
        <f>AZ29/#REF!</f>
        <v>#REF!</v>
      </c>
      <c r="BC29" s="99"/>
      <c r="BD29" s="100"/>
    </row>
    <row r="30" spans="1:61" ht="15" thickBot="1" x14ac:dyDescent="0.35">
      <c r="A30" s="147">
        <f>+A29</f>
        <v>46001</v>
      </c>
      <c r="B30" s="206">
        <f>DAY(Tabla2[[#This Row],[FECHA]])</f>
        <v>10</v>
      </c>
      <c r="C30" s="132" t="s">
        <v>29</v>
      </c>
      <c r="D30" s="125"/>
      <c r="E30" s="126"/>
      <c r="F30" s="127"/>
      <c r="G30" s="127"/>
      <c r="H30" s="126"/>
      <c r="I30" s="290">
        <f>Tabla2[[#This Row],[VOLUMEN ENVIADO A RO (m3)]]/Tabla2[[#This Row],[Q DE OPERACIÓN (m3/h)]]</f>
        <v>2.0209999999999999</v>
      </c>
      <c r="J30" s="273">
        <v>0</v>
      </c>
      <c r="K30" s="277">
        <v>5</v>
      </c>
      <c r="L30" s="275">
        <v>52</v>
      </c>
      <c r="M30" s="274">
        <v>0</v>
      </c>
      <c r="N30" s="278">
        <v>0</v>
      </c>
      <c r="O30" s="188">
        <v>0</v>
      </c>
      <c r="P30" s="189">
        <v>43.859649122807021</v>
      </c>
      <c r="Q30" s="189">
        <v>456.14035087719299</v>
      </c>
      <c r="R30" s="189">
        <v>0</v>
      </c>
      <c r="S30" s="189">
        <v>0</v>
      </c>
      <c r="T30" s="184">
        <v>0</v>
      </c>
      <c r="U30" s="185">
        <v>0</v>
      </c>
      <c r="V30" s="185">
        <v>0</v>
      </c>
      <c r="W30" s="185">
        <v>0</v>
      </c>
      <c r="X30" s="186">
        <v>0</v>
      </c>
      <c r="Y30" s="191">
        <v>1.18</v>
      </c>
      <c r="Z30" s="191">
        <v>1.28</v>
      </c>
      <c r="AA30" s="191">
        <v>1.2</v>
      </c>
      <c r="AB30" s="191">
        <v>1.53</v>
      </c>
      <c r="AC30" s="191">
        <v>1.2</v>
      </c>
      <c r="AD30" s="184">
        <v>0</v>
      </c>
      <c r="AE30" s="185">
        <v>0</v>
      </c>
      <c r="AF30" s="185">
        <v>0</v>
      </c>
      <c r="AG30" s="185">
        <v>0</v>
      </c>
      <c r="AH30" s="186">
        <v>0</v>
      </c>
      <c r="AI30" s="402">
        <v>111.155</v>
      </c>
      <c r="AJ30" s="310">
        <v>55</v>
      </c>
      <c r="AK30" s="128">
        <f t="shared" si="5"/>
        <v>0</v>
      </c>
      <c r="AL30" s="129">
        <f t="shared" si="6"/>
        <v>0</v>
      </c>
      <c r="AM30" s="129">
        <f t="shared" si="7"/>
        <v>0</v>
      </c>
      <c r="AN30" s="129">
        <f t="shared" si="8"/>
        <v>0</v>
      </c>
      <c r="AO30" s="130">
        <f t="shared" si="9"/>
        <v>0</v>
      </c>
      <c r="AP30" s="104">
        <f t="shared" si="13"/>
        <v>1550</v>
      </c>
      <c r="AQ30" s="105">
        <f t="shared" si="13"/>
        <v>19462</v>
      </c>
      <c r="AR30" s="105">
        <f t="shared" si="13"/>
        <v>36854</v>
      </c>
      <c r="AS30" s="105">
        <f t="shared" si="13"/>
        <v>1560</v>
      </c>
      <c r="AT30" s="106">
        <f t="shared" si="13"/>
        <v>3640</v>
      </c>
      <c r="AU30" s="104">
        <f t="shared" si="1"/>
        <v>0</v>
      </c>
      <c r="AV30" s="105">
        <f t="shared" si="11"/>
        <v>0</v>
      </c>
      <c r="AW30" s="105">
        <f t="shared" si="12"/>
        <v>0</v>
      </c>
      <c r="AX30" s="105">
        <f t="shared" si="2"/>
        <v>0</v>
      </c>
      <c r="AY30" s="106">
        <f t="shared" si="3"/>
        <v>10115.105000000001</v>
      </c>
      <c r="AZ30" s="104">
        <f t="shared" si="4"/>
        <v>10115.105000000001</v>
      </c>
      <c r="BA30" s="105">
        <v>1000</v>
      </c>
      <c r="BB30" s="105" t="e">
        <f>AZ30/#REF!</f>
        <v>#REF!</v>
      </c>
      <c r="BC30" s="99"/>
      <c r="BD30" s="100"/>
    </row>
    <row r="31" spans="1:61" ht="15" thickBot="1" x14ac:dyDescent="0.35">
      <c r="A31" s="148">
        <f>+A30</f>
        <v>46001</v>
      </c>
      <c r="B31" s="207">
        <f>DAY(Tabla2[[#This Row],[FECHA]])</f>
        <v>10</v>
      </c>
      <c r="C31" s="137" t="s">
        <v>30</v>
      </c>
      <c r="D31" s="149"/>
      <c r="E31" s="150"/>
      <c r="F31" s="151"/>
      <c r="G31" s="151"/>
      <c r="H31" s="150"/>
      <c r="I31" s="290">
        <f>Tabla2[[#This Row],[VOLUMEN ENVIADO A RO (m3)]]/Tabla2[[#This Row],[Q DE OPERACIÓN (m3/h)]]</f>
        <v>0</v>
      </c>
      <c r="J31" s="273">
        <v>0</v>
      </c>
      <c r="K31" s="280">
        <v>5</v>
      </c>
      <c r="L31" s="275">
        <v>52</v>
      </c>
      <c r="M31" s="274">
        <v>0</v>
      </c>
      <c r="N31" s="281">
        <v>0</v>
      </c>
      <c r="O31" s="188">
        <v>0</v>
      </c>
      <c r="P31" s="193">
        <v>43.859649122807021</v>
      </c>
      <c r="Q31" s="193">
        <v>456.14035087719299</v>
      </c>
      <c r="R31" s="193">
        <v>0</v>
      </c>
      <c r="S31" s="193">
        <v>0</v>
      </c>
      <c r="T31" s="184">
        <v>0</v>
      </c>
      <c r="U31" s="185">
        <v>0</v>
      </c>
      <c r="V31" s="185">
        <v>35.087719298245588</v>
      </c>
      <c r="W31" s="185">
        <v>0</v>
      </c>
      <c r="X31" s="186">
        <v>0</v>
      </c>
      <c r="Y31" s="191">
        <v>1.18</v>
      </c>
      <c r="Z31" s="191">
        <v>1.28</v>
      </c>
      <c r="AA31" s="191">
        <v>1.2</v>
      </c>
      <c r="AB31" s="191">
        <v>1.53</v>
      </c>
      <c r="AC31" s="191">
        <v>1.2</v>
      </c>
      <c r="AD31" s="195">
        <v>0</v>
      </c>
      <c r="AE31" s="196">
        <v>0</v>
      </c>
      <c r="AF31" s="196">
        <v>42.105263157894704</v>
      </c>
      <c r="AG31" s="196">
        <v>0</v>
      </c>
      <c r="AH31" s="197">
        <v>0</v>
      </c>
      <c r="AI31" s="403">
        <v>0</v>
      </c>
      <c r="AJ31" s="310">
        <v>55</v>
      </c>
      <c r="AK31" s="128" t="e">
        <f t="shared" si="5"/>
        <v>#DIV/0!</v>
      </c>
      <c r="AL31" s="129" t="e">
        <f t="shared" si="6"/>
        <v>#DIV/0!</v>
      </c>
      <c r="AM31" s="129" t="e">
        <f t="shared" si="7"/>
        <v>#DIV/0!</v>
      </c>
      <c r="AN31" s="129" t="e">
        <f t="shared" si="8"/>
        <v>#DIV/0!</v>
      </c>
      <c r="AO31" s="130" t="e">
        <f t="shared" si="9"/>
        <v>#DIV/0!</v>
      </c>
      <c r="AP31" s="104">
        <f t="shared" si="13"/>
        <v>1550</v>
      </c>
      <c r="AQ31" s="105">
        <f t="shared" si="13"/>
        <v>19462</v>
      </c>
      <c r="AR31" s="105">
        <f t="shared" si="13"/>
        <v>36854</v>
      </c>
      <c r="AS31" s="105">
        <f t="shared" si="13"/>
        <v>1560</v>
      </c>
      <c r="AT31" s="106">
        <f t="shared" si="13"/>
        <v>3640</v>
      </c>
      <c r="AU31" s="107">
        <f t="shared" si="1"/>
        <v>0</v>
      </c>
      <c r="AV31" s="108">
        <f t="shared" si="11"/>
        <v>9833.4315789473603</v>
      </c>
      <c r="AW31" s="108">
        <f t="shared" si="12"/>
        <v>0</v>
      </c>
      <c r="AX31" s="108">
        <f t="shared" si="2"/>
        <v>0</v>
      </c>
      <c r="AY31" s="109">
        <f t="shared" si="3"/>
        <v>0</v>
      </c>
      <c r="AZ31" s="107">
        <f t="shared" si="4"/>
        <v>9833.4315789473603</v>
      </c>
      <c r="BA31" s="108">
        <v>1000</v>
      </c>
      <c r="BB31" s="108" t="e">
        <f>AZ31/#REF!</f>
        <v>#REF!</v>
      </c>
      <c r="BC31" s="98"/>
      <c r="BD31" s="101"/>
    </row>
    <row r="32" spans="1:61" ht="15" thickBot="1" x14ac:dyDescent="0.35">
      <c r="A32" s="143">
        <f>+A31+1</f>
        <v>46002</v>
      </c>
      <c r="B32" s="208">
        <f>DAY(Tabla2[[#This Row],[FECHA]])</f>
        <v>11</v>
      </c>
      <c r="C32" s="152" t="s">
        <v>28</v>
      </c>
      <c r="D32" s="144"/>
      <c r="E32" s="145"/>
      <c r="F32" s="146"/>
      <c r="G32" s="146"/>
      <c r="H32" s="145"/>
      <c r="I32" s="290">
        <f>Tabla2[[#This Row],[VOLUMEN ENVIADO A RO (m3)]]/Tabla2[[#This Row],[Q DE OPERACIÓN (m3/h)]]</f>
        <v>0</v>
      </c>
      <c r="J32" s="273">
        <v>0</v>
      </c>
      <c r="K32" s="274">
        <v>5</v>
      </c>
      <c r="L32" s="275">
        <v>48</v>
      </c>
      <c r="M32" s="274">
        <v>0</v>
      </c>
      <c r="N32" s="275">
        <v>0</v>
      </c>
      <c r="O32" s="188">
        <v>0</v>
      </c>
      <c r="P32" s="199">
        <v>43.859649122807021</v>
      </c>
      <c r="Q32" s="182">
        <v>421.0526315789474</v>
      </c>
      <c r="R32" s="199">
        <v>0</v>
      </c>
      <c r="S32" s="199">
        <v>0</v>
      </c>
      <c r="T32" s="184">
        <v>0</v>
      </c>
      <c r="U32" s="185">
        <v>0</v>
      </c>
      <c r="V32" s="185">
        <v>377.19298245614038</v>
      </c>
      <c r="W32" s="185">
        <v>0</v>
      </c>
      <c r="X32" s="186">
        <v>0</v>
      </c>
      <c r="Y32" s="191">
        <v>1.18</v>
      </c>
      <c r="Z32" s="191">
        <v>1.28</v>
      </c>
      <c r="AA32" s="191">
        <v>1.2</v>
      </c>
      <c r="AB32" s="191">
        <v>1.53</v>
      </c>
      <c r="AC32" s="191">
        <v>1.2</v>
      </c>
      <c r="AD32" s="200">
        <v>0</v>
      </c>
      <c r="AE32" s="201">
        <v>0</v>
      </c>
      <c r="AF32" s="201">
        <v>452.63157894736844</v>
      </c>
      <c r="AG32" s="201">
        <v>0</v>
      </c>
      <c r="AH32" s="202">
        <v>0</v>
      </c>
      <c r="AI32" s="401">
        <v>0</v>
      </c>
      <c r="AJ32" s="310">
        <v>55</v>
      </c>
      <c r="AK32" s="128" t="e">
        <f t="shared" si="5"/>
        <v>#DIV/0!</v>
      </c>
      <c r="AL32" s="129" t="e">
        <f t="shared" si="6"/>
        <v>#DIV/0!</v>
      </c>
      <c r="AM32" s="129" t="e">
        <f t="shared" si="7"/>
        <v>#DIV/0!</v>
      </c>
      <c r="AN32" s="129" t="e">
        <f t="shared" si="8"/>
        <v>#DIV/0!</v>
      </c>
      <c r="AO32" s="130" t="e">
        <f t="shared" si="9"/>
        <v>#DIV/0!</v>
      </c>
      <c r="AP32" s="104">
        <f t="shared" si="13"/>
        <v>1550</v>
      </c>
      <c r="AQ32" s="105">
        <f t="shared" si="13"/>
        <v>19462</v>
      </c>
      <c r="AR32" s="105">
        <f t="shared" si="13"/>
        <v>36854</v>
      </c>
      <c r="AS32" s="105">
        <f t="shared" si="13"/>
        <v>1560</v>
      </c>
      <c r="AT32" s="106">
        <f t="shared" si="13"/>
        <v>3640</v>
      </c>
      <c r="AU32" s="104">
        <f t="shared" si="1"/>
        <v>0</v>
      </c>
      <c r="AV32" s="105">
        <f t="shared" si="11"/>
        <v>105709.3894736842</v>
      </c>
      <c r="AW32" s="105">
        <f t="shared" si="12"/>
        <v>0</v>
      </c>
      <c r="AX32" s="105">
        <f t="shared" si="2"/>
        <v>0</v>
      </c>
      <c r="AY32" s="106">
        <f t="shared" si="3"/>
        <v>0</v>
      </c>
      <c r="AZ32" s="104">
        <f t="shared" si="4"/>
        <v>105709.3894736842</v>
      </c>
      <c r="BA32" s="105">
        <v>1000</v>
      </c>
      <c r="BB32" s="105" t="e">
        <f>AZ32/#REF!</f>
        <v>#REF!</v>
      </c>
      <c r="BC32" s="99"/>
      <c r="BD32" s="100"/>
    </row>
    <row r="33" spans="1:56" ht="15" thickBot="1" x14ac:dyDescent="0.35">
      <c r="A33" s="147">
        <f>+A32</f>
        <v>46002</v>
      </c>
      <c r="B33" s="206">
        <f>DAY(Tabla2[[#This Row],[FECHA]])</f>
        <v>11</v>
      </c>
      <c r="C33" s="132" t="s">
        <v>29</v>
      </c>
      <c r="D33" s="125"/>
      <c r="E33" s="126"/>
      <c r="F33" s="127"/>
      <c r="G33" s="127"/>
      <c r="H33" s="126"/>
      <c r="I33" s="290">
        <f>Tabla2[[#This Row],[VOLUMEN ENVIADO A RO (m3)]]/Tabla2[[#This Row],[Q DE OPERACIÓN (m3/h)]]</f>
        <v>0</v>
      </c>
      <c r="J33" s="273">
        <v>0</v>
      </c>
      <c r="K33" s="277">
        <v>5</v>
      </c>
      <c r="L33" s="275">
        <v>5</v>
      </c>
      <c r="M33" s="277">
        <v>0</v>
      </c>
      <c r="N33" s="278">
        <v>0</v>
      </c>
      <c r="O33" s="188">
        <v>0</v>
      </c>
      <c r="P33" s="189">
        <v>43.859649122807021</v>
      </c>
      <c r="Q33" s="189">
        <v>43.859649122807021</v>
      </c>
      <c r="R33" s="189">
        <v>0</v>
      </c>
      <c r="S33" s="189">
        <v>0</v>
      </c>
      <c r="T33" s="184">
        <v>0</v>
      </c>
      <c r="U33" s="185">
        <v>0</v>
      </c>
      <c r="V33" s="185">
        <v>0</v>
      </c>
      <c r="W33" s="185">
        <v>0</v>
      </c>
      <c r="X33" s="186">
        <v>0</v>
      </c>
      <c r="Y33" s="191">
        <v>1.18</v>
      </c>
      <c r="Z33" s="191">
        <v>1.28</v>
      </c>
      <c r="AA33" s="191">
        <v>1.2</v>
      </c>
      <c r="AB33" s="191">
        <v>1.53</v>
      </c>
      <c r="AC33" s="191">
        <v>1.2</v>
      </c>
      <c r="AD33" s="184">
        <v>0</v>
      </c>
      <c r="AE33" s="185">
        <v>0</v>
      </c>
      <c r="AF33" s="185">
        <v>0</v>
      </c>
      <c r="AG33" s="185">
        <v>0</v>
      </c>
      <c r="AH33" s="186">
        <v>0</v>
      </c>
      <c r="AI33" s="402">
        <v>0</v>
      </c>
      <c r="AJ33" s="310">
        <v>55</v>
      </c>
      <c r="AK33" s="128" t="e">
        <f t="shared" si="5"/>
        <v>#DIV/0!</v>
      </c>
      <c r="AL33" s="129" t="e">
        <f t="shared" si="6"/>
        <v>#DIV/0!</v>
      </c>
      <c r="AM33" s="129" t="e">
        <f t="shared" si="7"/>
        <v>#DIV/0!</v>
      </c>
      <c r="AN33" s="129" t="e">
        <f t="shared" si="8"/>
        <v>#DIV/0!</v>
      </c>
      <c r="AO33" s="130" t="e">
        <f t="shared" si="9"/>
        <v>#DIV/0!</v>
      </c>
      <c r="AP33" s="104">
        <f t="shared" si="13"/>
        <v>1550</v>
      </c>
      <c r="AQ33" s="105">
        <f t="shared" si="13"/>
        <v>19462</v>
      </c>
      <c r="AR33" s="105">
        <f t="shared" si="13"/>
        <v>36854</v>
      </c>
      <c r="AS33" s="105">
        <f t="shared" si="13"/>
        <v>1560</v>
      </c>
      <c r="AT33" s="106">
        <f t="shared" si="13"/>
        <v>3640</v>
      </c>
      <c r="AU33" s="104">
        <f t="shared" si="1"/>
        <v>0</v>
      </c>
      <c r="AV33" s="105">
        <f t="shared" si="11"/>
        <v>0</v>
      </c>
      <c r="AW33" s="105">
        <f t="shared" si="12"/>
        <v>0</v>
      </c>
      <c r="AX33" s="105">
        <f t="shared" si="2"/>
        <v>0</v>
      </c>
      <c r="AY33" s="106">
        <f t="shared" si="3"/>
        <v>0</v>
      </c>
      <c r="AZ33" s="104">
        <f t="shared" si="4"/>
        <v>0</v>
      </c>
      <c r="BA33" s="105">
        <v>1000</v>
      </c>
      <c r="BB33" s="105" t="e">
        <f>AZ33/#REF!</f>
        <v>#REF!</v>
      </c>
      <c r="BC33" s="99"/>
      <c r="BD33" s="100"/>
    </row>
    <row r="34" spans="1:56" ht="15" thickBot="1" x14ac:dyDescent="0.35">
      <c r="A34" s="148">
        <f>+A33</f>
        <v>46002</v>
      </c>
      <c r="B34" s="207">
        <f>DAY(Tabla2[[#This Row],[FECHA]])</f>
        <v>11</v>
      </c>
      <c r="C34" s="137" t="s">
        <v>30</v>
      </c>
      <c r="D34" s="149"/>
      <c r="E34" s="150"/>
      <c r="F34" s="151"/>
      <c r="G34" s="151"/>
      <c r="H34" s="150"/>
      <c r="I34" s="290">
        <f>Tabla2[[#This Row],[VOLUMEN ENVIADO A RO (m3)]]/Tabla2[[#This Row],[Q DE OPERACIÓN (m3/h)]]</f>
        <v>0</v>
      </c>
      <c r="J34" s="273">
        <v>0</v>
      </c>
      <c r="K34" s="280">
        <v>5</v>
      </c>
      <c r="L34" s="275">
        <v>5</v>
      </c>
      <c r="M34" s="280">
        <v>0</v>
      </c>
      <c r="N34" s="281">
        <v>0</v>
      </c>
      <c r="O34" s="188">
        <v>0</v>
      </c>
      <c r="P34" s="193">
        <v>43.859649122807021</v>
      </c>
      <c r="Q34" s="193">
        <v>43.859649122807021</v>
      </c>
      <c r="R34" s="193">
        <v>0</v>
      </c>
      <c r="S34" s="193">
        <v>0</v>
      </c>
      <c r="T34" s="184">
        <v>0</v>
      </c>
      <c r="U34" s="185">
        <v>0</v>
      </c>
      <c r="V34" s="185">
        <v>0</v>
      </c>
      <c r="W34" s="185">
        <v>0</v>
      </c>
      <c r="X34" s="186">
        <v>0</v>
      </c>
      <c r="Y34" s="191">
        <v>1.18</v>
      </c>
      <c r="Z34" s="191">
        <v>1.28</v>
      </c>
      <c r="AA34" s="191">
        <v>1.2</v>
      </c>
      <c r="AB34" s="191">
        <v>1.53</v>
      </c>
      <c r="AC34" s="191">
        <v>1.2</v>
      </c>
      <c r="AD34" s="195">
        <v>0</v>
      </c>
      <c r="AE34" s="196">
        <v>0</v>
      </c>
      <c r="AF34" s="196">
        <v>0</v>
      </c>
      <c r="AG34" s="196">
        <v>0</v>
      </c>
      <c r="AH34" s="197">
        <v>0</v>
      </c>
      <c r="AI34" s="403">
        <v>0</v>
      </c>
      <c r="AJ34" s="310">
        <v>55</v>
      </c>
      <c r="AK34" s="128" t="e">
        <f t="shared" si="5"/>
        <v>#DIV/0!</v>
      </c>
      <c r="AL34" s="129" t="e">
        <f t="shared" si="6"/>
        <v>#DIV/0!</v>
      </c>
      <c r="AM34" s="129" t="e">
        <f t="shared" si="7"/>
        <v>#DIV/0!</v>
      </c>
      <c r="AN34" s="129" t="e">
        <f t="shared" si="8"/>
        <v>#DIV/0!</v>
      </c>
      <c r="AO34" s="130" t="e">
        <f t="shared" si="9"/>
        <v>#DIV/0!</v>
      </c>
      <c r="AP34" s="104">
        <f t="shared" si="13"/>
        <v>1550</v>
      </c>
      <c r="AQ34" s="105">
        <f t="shared" si="13"/>
        <v>19462</v>
      </c>
      <c r="AR34" s="105">
        <f t="shared" si="13"/>
        <v>36854</v>
      </c>
      <c r="AS34" s="105">
        <f t="shared" si="13"/>
        <v>1560</v>
      </c>
      <c r="AT34" s="106">
        <f t="shared" si="13"/>
        <v>3640</v>
      </c>
      <c r="AU34" s="107">
        <f t="shared" si="1"/>
        <v>0</v>
      </c>
      <c r="AV34" s="108">
        <f t="shared" si="11"/>
        <v>0</v>
      </c>
      <c r="AW34" s="108">
        <f t="shared" si="12"/>
        <v>0</v>
      </c>
      <c r="AX34" s="108">
        <f t="shared" si="2"/>
        <v>0</v>
      </c>
      <c r="AY34" s="109">
        <f t="shared" si="3"/>
        <v>0</v>
      </c>
      <c r="AZ34" s="107">
        <f t="shared" ref="AZ34:AZ65" si="14">AU34+AV34+AW34+AX34+AY34</f>
        <v>0</v>
      </c>
      <c r="BA34" s="108">
        <v>1000</v>
      </c>
      <c r="BB34" s="108" t="e">
        <f>AZ34/#REF!</f>
        <v>#REF!</v>
      </c>
      <c r="BC34" s="98"/>
      <c r="BD34" s="101"/>
    </row>
    <row r="35" spans="1:56" ht="15" thickBot="1" x14ac:dyDescent="0.35">
      <c r="A35" s="143">
        <f>+A34+1</f>
        <v>46003</v>
      </c>
      <c r="B35" s="208">
        <f>DAY(Tabla2[[#This Row],[FECHA]])</f>
        <v>12</v>
      </c>
      <c r="C35" s="152" t="s">
        <v>28</v>
      </c>
      <c r="D35" s="144"/>
      <c r="E35" s="145"/>
      <c r="F35" s="146"/>
      <c r="G35" s="146"/>
      <c r="H35" s="145"/>
      <c r="I35" s="290">
        <f>Tabla2[[#This Row],[VOLUMEN ENVIADO A RO (m3)]]/Tabla2[[#This Row],[Q DE OPERACIÓN (m3/h)]]</f>
        <v>0</v>
      </c>
      <c r="J35" s="273">
        <v>0</v>
      </c>
      <c r="K35" s="274">
        <v>5</v>
      </c>
      <c r="L35" s="275">
        <v>5</v>
      </c>
      <c r="M35" s="274">
        <v>0</v>
      </c>
      <c r="N35" s="275">
        <v>0</v>
      </c>
      <c r="O35" s="188">
        <v>0</v>
      </c>
      <c r="P35" s="199">
        <v>43.859649122807021</v>
      </c>
      <c r="Q35" s="182">
        <v>43.859649122807021</v>
      </c>
      <c r="R35" s="199">
        <v>0</v>
      </c>
      <c r="S35" s="199">
        <v>0</v>
      </c>
      <c r="T35" s="184">
        <v>0</v>
      </c>
      <c r="U35" s="185">
        <v>0</v>
      </c>
      <c r="V35" s="185">
        <v>0</v>
      </c>
      <c r="W35" s="185">
        <v>0</v>
      </c>
      <c r="X35" s="186">
        <v>0</v>
      </c>
      <c r="Y35" s="191">
        <v>1.18</v>
      </c>
      <c r="Z35" s="191">
        <v>1.28</v>
      </c>
      <c r="AA35" s="191">
        <v>1.2</v>
      </c>
      <c r="AB35" s="191">
        <v>1.53</v>
      </c>
      <c r="AC35" s="191">
        <v>1.2</v>
      </c>
      <c r="AD35" s="200">
        <v>0</v>
      </c>
      <c r="AE35" s="201">
        <v>0</v>
      </c>
      <c r="AF35" s="201">
        <v>0</v>
      </c>
      <c r="AG35" s="201">
        <v>0</v>
      </c>
      <c r="AH35" s="202">
        <v>0</v>
      </c>
      <c r="AI35" s="401">
        <v>0</v>
      </c>
      <c r="AJ35" s="310">
        <v>55</v>
      </c>
      <c r="AK35" s="128" t="e">
        <f t="shared" si="5"/>
        <v>#DIV/0!</v>
      </c>
      <c r="AL35" s="129" t="e">
        <f t="shared" si="6"/>
        <v>#DIV/0!</v>
      </c>
      <c r="AM35" s="129" t="e">
        <f t="shared" si="7"/>
        <v>#DIV/0!</v>
      </c>
      <c r="AN35" s="129" t="e">
        <f t="shared" si="8"/>
        <v>#DIV/0!</v>
      </c>
      <c r="AO35" s="130" t="e">
        <f t="shared" si="9"/>
        <v>#DIV/0!</v>
      </c>
      <c r="AP35" s="104">
        <f t="shared" ref="AP35:AT50" si="15">AP34</f>
        <v>1550</v>
      </c>
      <c r="AQ35" s="105">
        <f t="shared" si="15"/>
        <v>19462</v>
      </c>
      <c r="AR35" s="105">
        <f t="shared" si="15"/>
        <v>36854</v>
      </c>
      <c r="AS35" s="105">
        <f t="shared" si="15"/>
        <v>1560</v>
      </c>
      <c r="AT35" s="106">
        <f t="shared" si="15"/>
        <v>3640</v>
      </c>
      <c r="AU35" s="104">
        <f t="shared" si="1"/>
        <v>0</v>
      </c>
      <c r="AV35" s="105">
        <f t="shared" si="11"/>
        <v>0</v>
      </c>
      <c r="AW35" s="105">
        <f t="shared" si="12"/>
        <v>0</v>
      </c>
      <c r="AX35" s="105">
        <f t="shared" si="2"/>
        <v>0</v>
      </c>
      <c r="AY35" s="106">
        <f t="shared" si="3"/>
        <v>0</v>
      </c>
      <c r="AZ35" s="104">
        <f t="shared" si="14"/>
        <v>0</v>
      </c>
      <c r="BA35" s="105">
        <v>1000</v>
      </c>
      <c r="BB35" s="105" t="e">
        <f>AZ35/#REF!</f>
        <v>#REF!</v>
      </c>
      <c r="BC35" s="99"/>
      <c r="BD35" s="100"/>
    </row>
    <row r="36" spans="1:56" ht="15" thickBot="1" x14ac:dyDescent="0.35">
      <c r="A36" s="147">
        <f>+A35</f>
        <v>46003</v>
      </c>
      <c r="B36" s="206">
        <f>DAY(Tabla2[[#This Row],[FECHA]])</f>
        <v>12</v>
      </c>
      <c r="C36" s="132" t="s">
        <v>29</v>
      </c>
      <c r="D36" s="125"/>
      <c r="E36" s="126"/>
      <c r="F36" s="127"/>
      <c r="G36" s="127"/>
      <c r="H36" s="126"/>
      <c r="I36" s="290">
        <f>Tabla2[[#This Row],[VOLUMEN ENVIADO A RO (m3)]]/Tabla2[[#This Row],[Q DE OPERACIÓN (m3/h)]]</f>
        <v>0</v>
      </c>
      <c r="J36" s="276">
        <v>0</v>
      </c>
      <c r="K36" s="277">
        <v>5</v>
      </c>
      <c r="L36" s="275">
        <v>5</v>
      </c>
      <c r="M36" s="277">
        <v>0</v>
      </c>
      <c r="N36" s="278">
        <v>0</v>
      </c>
      <c r="O36" s="188">
        <v>0</v>
      </c>
      <c r="P36" s="189">
        <v>43.859649122807021</v>
      </c>
      <c r="Q36" s="189">
        <v>43.859649122807021</v>
      </c>
      <c r="R36" s="189">
        <v>0</v>
      </c>
      <c r="S36" s="189">
        <v>0</v>
      </c>
      <c r="T36" s="184">
        <v>0</v>
      </c>
      <c r="U36" s="185">
        <v>0</v>
      </c>
      <c r="V36" s="185">
        <v>0</v>
      </c>
      <c r="W36" s="185">
        <v>0</v>
      </c>
      <c r="X36" s="186">
        <v>0</v>
      </c>
      <c r="Y36" s="191">
        <v>1.18</v>
      </c>
      <c r="Z36" s="191">
        <v>1.28</v>
      </c>
      <c r="AA36" s="191">
        <v>1.2</v>
      </c>
      <c r="AB36" s="191">
        <v>1.53</v>
      </c>
      <c r="AC36" s="191">
        <v>1.2</v>
      </c>
      <c r="AD36" s="184">
        <v>0</v>
      </c>
      <c r="AE36" s="185">
        <v>0</v>
      </c>
      <c r="AF36" s="185">
        <v>0</v>
      </c>
      <c r="AG36" s="185">
        <v>0</v>
      </c>
      <c r="AH36" s="186">
        <v>0</v>
      </c>
      <c r="AI36" s="402">
        <v>0</v>
      </c>
      <c r="AJ36" s="310">
        <v>55</v>
      </c>
      <c r="AK36" s="128" t="e">
        <f t="shared" si="5"/>
        <v>#DIV/0!</v>
      </c>
      <c r="AL36" s="129" t="e">
        <f t="shared" si="6"/>
        <v>#DIV/0!</v>
      </c>
      <c r="AM36" s="129" t="e">
        <f t="shared" si="7"/>
        <v>#DIV/0!</v>
      </c>
      <c r="AN36" s="129" t="e">
        <f t="shared" si="8"/>
        <v>#DIV/0!</v>
      </c>
      <c r="AO36" s="130" t="e">
        <f t="shared" si="9"/>
        <v>#DIV/0!</v>
      </c>
      <c r="AP36" s="104">
        <f t="shared" si="15"/>
        <v>1550</v>
      </c>
      <c r="AQ36" s="105">
        <f t="shared" si="15"/>
        <v>19462</v>
      </c>
      <c r="AR36" s="105">
        <f t="shared" si="15"/>
        <v>36854</v>
      </c>
      <c r="AS36" s="105">
        <f t="shared" si="15"/>
        <v>1560</v>
      </c>
      <c r="AT36" s="106">
        <f t="shared" si="15"/>
        <v>3640</v>
      </c>
      <c r="AU36" s="104">
        <f t="shared" si="1"/>
        <v>0</v>
      </c>
      <c r="AV36" s="105">
        <f t="shared" si="11"/>
        <v>0</v>
      </c>
      <c r="AW36" s="105">
        <f t="shared" si="12"/>
        <v>0</v>
      </c>
      <c r="AX36" s="105">
        <f t="shared" si="2"/>
        <v>0</v>
      </c>
      <c r="AY36" s="106">
        <f t="shared" si="3"/>
        <v>0</v>
      </c>
      <c r="AZ36" s="104">
        <f t="shared" si="14"/>
        <v>0</v>
      </c>
      <c r="BA36" s="105">
        <v>1000</v>
      </c>
      <c r="BB36" s="105" t="e">
        <f>AZ36/#REF!</f>
        <v>#REF!</v>
      </c>
      <c r="BC36" s="99"/>
      <c r="BD36" s="100"/>
    </row>
    <row r="37" spans="1:56" ht="15" thickBot="1" x14ac:dyDescent="0.35">
      <c r="A37" s="148">
        <f>+A36</f>
        <v>46003</v>
      </c>
      <c r="B37" s="207">
        <f>DAY(Tabla2[[#This Row],[FECHA]])</f>
        <v>12</v>
      </c>
      <c r="C37" s="137" t="s">
        <v>30</v>
      </c>
      <c r="D37" s="149"/>
      <c r="E37" s="150">
        <v>0</v>
      </c>
      <c r="F37" s="151">
        <v>0</v>
      </c>
      <c r="G37" s="151"/>
      <c r="H37" s="150"/>
      <c r="I37" s="290">
        <f>Tabla2[[#This Row],[VOLUMEN ENVIADO A RO (m3)]]/Tabla2[[#This Row],[Q DE OPERACIÓN (m3/h)]]</f>
        <v>0</v>
      </c>
      <c r="J37" s="279">
        <v>0</v>
      </c>
      <c r="K37" s="280">
        <v>5</v>
      </c>
      <c r="L37" s="275">
        <v>5</v>
      </c>
      <c r="M37" s="280">
        <v>0</v>
      </c>
      <c r="N37" s="281">
        <v>0</v>
      </c>
      <c r="O37" s="188">
        <v>0</v>
      </c>
      <c r="P37" s="193">
        <v>43.859649122807021</v>
      </c>
      <c r="Q37" s="193">
        <v>43.859649122807021</v>
      </c>
      <c r="R37" s="193">
        <v>0</v>
      </c>
      <c r="S37" s="193">
        <v>0</v>
      </c>
      <c r="T37" s="184">
        <v>0</v>
      </c>
      <c r="U37" s="185">
        <v>20</v>
      </c>
      <c r="V37" s="185">
        <v>30</v>
      </c>
      <c r="W37" s="185">
        <v>0</v>
      </c>
      <c r="X37" s="186">
        <v>0</v>
      </c>
      <c r="Y37" s="191">
        <v>1.18</v>
      </c>
      <c r="Z37" s="191">
        <v>1.28</v>
      </c>
      <c r="AA37" s="191">
        <v>1.2</v>
      </c>
      <c r="AB37" s="191">
        <v>1.53</v>
      </c>
      <c r="AC37" s="191">
        <v>1.2</v>
      </c>
      <c r="AD37" s="195">
        <v>0</v>
      </c>
      <c r="AE37" s="196">
        <v>25.6</v>
      </c>
      <c r="AF37" s="196">
        <v>36</v>
      </c>
      <c r="AG37" s="196">
        <v>0</v>
      </c>
      <c r="AH37" s="197">
        <v>0</v>
      </c>
      <c r="AI37" s="403">
        <v>0</v>
      </c>
      <c r="AJ37" s="310">
        <v>55</v>
      </c>
      <c r="AK37" s="128" t="e">
        <f t="shared" si="5"/>
        <v>#DIV/0!</v>
      </c>
      <c r="AL37" s="129" t="e">
        <f t="shared" si="6"/>
        <v>#DIV/0!</v>
      </c>
      <c r="AM37" s="129" t="e">
        <f t="shared" si="7"/>
        <v>#DIV/0!</v>
      </c>
      <c r="AN37" s="129" t="e">
        <f t="shared" si="8"/>
        <v>#DIV/0!</v>
      </c>
      <c r="AO37" s="130" t="e">
        <f t="shared" si="9"/>
        <v>#DIV/0!</v>
      </c>
      <c r="AP37" s="104">
        <f t="shared" si="15"/>
        <v>1550</v>
      </c>
      <c r="AQ37" s="105">
        <f t="shared" si="15"/>
        <v>19462</v>
      </c>
      <c r="AR37" s="105">
        <f t="shared" si="15"/>
        <v>36854</v>
      </c>
      <c r="AS37" s="105">
        <f t="shared" si="15"/>
        <v>1560</v>
      </c>
      <c r="AT37" s="106">
        <f t="shared" si="15"/>
        <v>3640</v>
      </c>
      <c r="AU37" s="107">
        <f t="shared" si="1"/>
        <v>31744.000000000007</v>
      </c>
      <c r="AV37" s="108">
        <f t="shared" si="11"/>
        <v>8407.5840000000007</v>
      </c>
      <c r="AW37" s="108">
        <f t="shared" si="12"/>
        <v>0</v>
      </c>
      <c r="AX37" s="108">
        <f t="shared" si="2"/>
        <v>0</v>
      </c>
      <c r="AY37" s="109">
        <f t="shared" si="3"/>
        <v>0</v>
      </c>
      <c r="AZ37" s="107">
        <f t="shared" si="14"/>
        <v>40151.58400000001</v>
      </c>
      <c r="BA37" s="108">
        <v>1000</v>
      </c>
      <c r="BB37" s="108" t="e">
        <f>AZ37/#REF!</f>
        <v>#REF!</v>
      </c>
      <c r="BC37" s="98"/>
      <c r="BD37" s="101"/>
    </row>
    <row r="38" spans="1:56" ht="15" thickBot="1" x14ac:dyDescent="0.35">
      <c r="A38" s="143">
        <f>+A37+1</f>
        <v>46004</v>
      </c>
      <c r="B38" s="208">
        <f>DAY(Tabla2[[#This Row],[FECHA]])</f>
        <v>13</v>
      </c>
      <c r="C38" s="152" t="s">
        <v>28</v>
      </c>
      <c r="D38" s="144"/>
      <c r="E38" s="145"/>
      <c r="F38" s="146"/>
      <c r="G38" s="146"/>
      <c r="H38" s="145"/>
      <c r="I38" s="290">
        <f>Tabla2[[#This Row],[VOLUMEN ENVIADO A RO (m3)]]/Tabla2[[#This Row],[Q DE OPERACIÓN (m3/h)]]</f>
        <v>0</v>
      </c>
      <c r="J38" s="273">
        <v>0</v>
      </c>
      <c r="K38" s="274">
        <v>5</v>
      </c>
      <c r="L38" s="275">
        <v>5</v>
      </c>
      <c r="M38" s="274">
        <v>0</v>
      </c>
      <c r="N38" s="275">
        <v>0</v>
      </c>
      <c r="O38" s="188">
        <v>0</v>
      </c>
      <c r="P38" s="199">
        <v>43.859649122807021</v>
      </c>
      <c r="Q38" s="182">
        <v>43.859649122807021</v>
      </c>
      <c r="R38" s="199">
        <v>0</v>
      </c>
      <c r="S38" s="199">
        <v>0</v>
      </c>
      <c r="T38" s="184">
        <v>0</v>
      </c>
      <c r="U38" s="185">
        <v>0</v>
      </c>
      <c r="V38" s="185">
        <v>0</v>
      </c>
      <c r="W38" s="185">
        <v>0</v>
      </c>
      <c r="X38" s="186">
        <v>0</v>
      </c>
      <c r="Y38" s="191">
        <v>1.18</v>
      </c>
      <c r="Z38" s="191">
        <v>1.28</v>
      </c>
      <c r="AA38" s="191">
        <v>1.2</v>
      </c>
      <c r="AB38" s="191">
        <v>1.53</v>
      </c>
      <c r="AC38" s="191">
        <v>1.2</v>
      </c>
      <c r="AD38" s="200">
        <v>0</v>
      </c>
      <c r="AE38" s="201">
        <v>0</v>
      </c>
      <c r="AF38" s="201">
        <v>0</v>
      </c>
      <c r="AG38" s="201">
        <v>0</v>
      </c>
      <c r="AH38" s="202">
        <v>0</v>
      </c>
      <c r="AI38" s="401">
        <v>0</v>
      </c>
      <c r="AJ38" s="310">
        <v>55</v>
      </c>
      <c r="AK38" s="128" t="e">
        <f t="shared" si="5"/>
        <v>#DIV/0!</v>
      </c>
      <c r="AL38" s="129" t="e">
        <f t="shared" si="6"/>
        <v>#DIV/0!</v>
      </c>
      <c r="AM38" s="129" t="e">
        <f t="shared" si="7"/>
        <v>#DIV/0!</v>
      </c>
      <c r="AN38" s="129" t="e">
        <f t="shared" si="8"/>
        <v>#DIV/0!</v>
      </c>
      <c r="AO38" s="130" t="e">
        <f t="shared" si="9"/>
        <v>#DIV/0!</v>
      </c>
      <c r="AP38" s="104">
        <f t="shared" si="15"/>
        <v>1550</v>
      </c>
      <c r="AQ38" s="105">
        <f t="shared" si="15"/>
        <v>19462</v>
      </c>
      <c r="AR38" s="105">
        <f t="shared" si="15"/>
        <v>36854</v>
      </c>
      <c r="AS38" s="105">
        <f t="shared" si="15"/>
        <v>1560</v>
      </c>
      <c r="AT38" s="106">
        <f t="shared" si="15"/>
        <v>3640</v>
      </c>
      <c r="AU38" s="104">
        <f t="shared" si="1"/>
        <v>0</v>
      </c>
      <c r="AV38" s="105">
        <f t="shared" si="11"/>
        <v>0</v>
      </c>
      <c r="AW38" s="105">
        <f t="shared" si="12"/>
        <v>0</v>
      </c>
      <c r="AX38" s="105">
        <f t="shared" si="2"/>
        <v>0</v>
      </c>
      <c r="AY38" s="106">
        <f t="shared" si="3"/>
        <v>0</v>
      </c>
      <c r="AZ38" s="104">
        <f t="shared" si="14"/>
        <v>0</v>
      </c>
      <c r="BA38" s="105">
        <v>1000</v>
      </c>
      <c r="BB38" s="105" t="e">
        <f>AZ38/#REF!</f>
        <v>#REF!</v>
      </c>
      <c r="BC38" s="99"/>
      <c r="BD38" s="100"/>
    </row>
    <row r="39" spans="1:56" ht="15" thickBot="1" x14ac:dyDescent="0.35">
      <c r="A39" s="147">
        <f>+A38</f>
        <v>46004</v>
      </c>
      <c r="B39" s="206">
        <f>DAY(Tabla2[[#This Row],[FECHA]])</f>
        <v>13</v>
      </c>
      <c r="C39" s="132" t="s">
        <v>29</v>
      </c>
      <c r="D39" s="125"/>
      <c r="E39" s="126"/>
      <c r="F39" s="127"/>
      <c r="G39" s="127"/>
      <c r="H39" s="126"/>
      <c r="I39" s="290">
        <f>Tabla2[[#This Row],[VOLUMEN ENVIADO A RO (m3)]]/Tabla2[[#This Row],[Q DE OPERACIÓN (m3/h)]]</f>
        <v>0</v>
      </c>
      <c r="J39" s="276">
        <v>0</v>
      </c>
      <c r="K39" s="277">
        <v>5</v>
      </c>
      <c r="L39" s="275">
        <v>5</v>
      </c>
      <c r="M39" s="277">
        <v>0</v>
      </c>
      <c r="N39" s="278">
        <v>0</v>
      </c>
      <c r="O39" s="188">
        <v>0</v>
      </c>
      <c r="P39" s="189">
        <v>43.859649122807021</v>
      </c>
      <c r="Q39" s="189">
        <v>43.859649122807021</v>
      </c>
      <c r="R39" s="189">
        <v>0</v>
      </c>
      <c r="S39" s="189">
        <v>0</v>
      </c>
      <c r="T39" s="184">
        <v>0</v>
      </c>
      <c r="U39" s="185">
        <v>8.7719298245614041</v>
      </c>
      <c r="V39" s="185">
        <v>8.7719298245614041</v>
      </c>
      <c r="W39" s="185">
        <v>0</v>
      </c>
      <c r="X39" s="186">
        <v>0</v>
      </c>
      <c r="Y39" s="191">
        <v>1.18</v>
      </c>
      <c r="Z39" s="191">
        <v>1.28</v>
      </c>
      <c r="AA39" s="191">
        <v>1.2</v>
      </c>
      <c r="AB39" s="191">
        <v>1.53</v>
      </c>
      <c r="AC39" s="191">
        <v>1.2</v>
      </c>
      <c r="AD39" s="184">
        <v>0</v>
      </c>
      <c r="AE39" s="185">
        <v>11.228070175438598</v>
      </c>
      <c r="AF39" s="185">
        <v>10.526315789473685</v>
      </c>
      <c r="AG39" s="185">
        <v>0</v>
      </c>
      <c r="AH39" s="186">
        <v>0</v>
      </c>
      <c r="AI39" s="402">
        <v>0</v>
      </c>
      <c r="AJ39" s="310">
        <v>55</v>
      </c>
      <c r="AK39" s="128" t="e">
        <f t="shared" si="5"/>
        <v>#DIV/0!</v>
      </c>
      <c r="AL39" s="129" t="e">
        <f t="shared" si="6"/>
        <v>#DIV/0!</v>
      </c>
      <c r="AM39" s="129" t="e">
        <f t="shared" si="7"/>
        <v>#DIV/0!</v>
      </c>
      <c r="AN39" s="129" t="e">
        <f t="shared" si="8"/>
        <v>#DIV/0!</v>
      </c>
      <c r="AO39" s="130" t="e">
        <f t="shared" si="9"/>
        <v>#DIV/0!</v>
      </c>
      <c r="AP39" s="104">
        <f t="shared" si="15"/>
        <v>1550</v>
      </c>
      <c r="AQ39" s="105">
        <f t="shared" si="15"/>
        <v>19462</v>
      </c>
      <c r="AR39" s="105">
        <f t="shared" si="15"/>
        <v>36854</v>
      </c>
      <c r="AS39" s="105">
        <f t="shared" si="15"/>
        <v>1560</v>
      </c>
      <c r="AT39" s="106">
        <f t="shared" si="15"/>
        <v>3640</v>
      </c>
      <c r="AU39" s="104">
        <f t="shared" si="1"/>
        <v>13922.807017543862</v>
      </c>
      <c r="AV39" s="105">
        <f t="shared" si="11"/>
        <v>2458.3578947368424</v>
      </c>
      <c r="AW39" s="105">
        <f t="shared" si="12"/>
        <v>0</v>
      </c>
      <c r="AX39" s="105">
        <f t="shared" si="2"/>
        <v>0</v>
      </c>
      <c r="AY39" s="106">
        <f t="shared" si="3"/>
        <v>0</v>
      </c>
      <c r="AZ39" s="104">
        <f t="shared" si="14"/>
        <v>16381.164912280705</v>
      </c>
      <c r="BA39" s="105">
        <v>1000</v>
      </c>
      <c r="BB39" s="105" t="e">
        <f>AZ39/#REF!</f>
        <v>#REF!</v>
      </c>
      <c r="BC39" s="99"/>
      <c r="BD39" s="100"/>
    </row>
    <row r="40" spans="1:56" ht="15" thickBot="1" x14ac:dyDescent="0.35">
      <c r="A40" s="148">
        <f>+A39</f>
        <v>46004</v>
      </c>
      <c r="B40" s="207">
        <f>DAY(Tabla2[[#This Row],[FECHA]])</f>
        <v>13</v>
      </c>
      <c r="C40" s="137" t="s">
        <v>30</v>
      </c>
      <c r="D40" s="149"/>
      <c r="E40" s="150"/>
      <c r="F40" s="151"/>
      <c r="G40" s="151"/>
      <c r="H40" s="150"/>
      <c r="I40" s="290">
        <f>Tabla2[[#This Row],[VOLUMEN ENVIADO A RO (m3)]]/Tabla2[[#This Row],[Q DE OPERACIÓN (m3/h)]]</f>
        <v>2.7891272727272725</v>
      </c>
      <c r="J40" s="279">
        <v>0</v>
      </c>
      <c r="K40" s="280">
        <v>4</v>
      </c>
      <c r="L40" s="275">
        <v>4</v>
      </c>
      <c r="M40" s="280">
        <v>0</v>
      </c>
      <c r="N40" s="281">
        <v>0</v>
      </c>
      <c r="O40" s="188">
        <v>0</v>
      </c>
      <c r="P40" s="193">
        <v>35.087719298245617</v>
      </c>
      <c r="Q40" s="193">
        <v>35.087719298245617</v>
      </c>
      <c r="R40" s="193">
        <v>0</v>
      </c>
      <c r="S40" s="193">
        <v>0</v>
      </c>
      <c r="T40" s="184">
        <v>0</v>
      </c>
      <c r="U40" s="185">
        <v>61.403508771929751</v>
      </c>
      <c r="V40" s="185">
        <v>61.403508771929751</v>
      </c>
      <c r="W40" s="185">
        <v>0</v>
      </c>
      <c r="X40" s="186">
        <v>0</v>
      </c>
      <c r="Y40" s="191">
        <v>1.18</v>
      </c>
      <c r="Z40" s="191">
        <v>1.28</v>
      </c>
      <c r="AA40" s="191">
        <v>1.2</v>
      </c>
      <c r="AB40" s="191">
        <v>1.53</v>
      </c>
      <c r="AC40" s="191">
        <v>1.2</v>
      </c>
      <c r="AD40" s="195">
        <v>0</v>
      </c>
      <c r="AE40" s="196">
        <v>78.596491228070079</v>
      </c>
      <c r="AF40" s="196">
        <v>73.684210526315695</v>
      </c>
      <c r="AG40" s="196">
        <v>0</v>
      </c>
      <c r="AH40" s="197">
        <v>0</v>
      </c>
      <c r="AI40" s="403">
        <v>153.40199999999999</v>
      </c>
      <c r="AJ40" s="310">
        <v>55</v>
      </c>
      <c r="AK40" s="128">
        <f t="shared" si="5"/>
        <v>0</v>
      </c>
      <c r="AL40" s="129">
        <f t="shared" si="6"/>
        <v>512.35636581055064</v>
      </c>
      <c r="AM40" s="129">
        <f t="shared" si="7"/>
        <v>480.33409294739118</v>
      </c>
      <c r="AN40" s="129">
        <f t="shared" si="8"/>
        <v>0</v>
      </c>
      <c r="AO40" s="130">
        <f t="shared" si="9"/>
        <v>0</v>
      </c>
      <c r="AP40" s="104">
        <f t="shared" si="15"/>
        <v>1550</v>
      </c>
      <c r="AQ40" s="105">
        <f t="shared" si="15"/>
        <v>19462</v>
      </c>
      <c r="AR40" s="105">
        <f t="shared" si="15"/>
        <v>36854</v>
      </c>
      <c r="AS40" s="105">
        <f t="shared" si="15"/>
        <v>1560</v>
      </c>
      <c r="AT40" s="106">
        <f t="shared" si="15"/>
        <v>3640</v>
      </c>
      <c r="AU40" s="107">
        <f t="shared" si="1"/>
        <v>97459.649122806906</v>
      </c>
      <c r="AV40" s="108">
        <f t="shared" si="11"/>
        <v>17208.505263157873</v>
      </c>
      <c r="AW40" s="108">
        <f t="shared" si="12"/>
        <v>0</v>
      </c>
      <c r="AX40" s="108">
        <f t="shared" si="2"/>
        <v>0</v>
      </c>
      <c r="AY40" s="109">
        <f t="shared" si="3"/>
        <v>13959.582</v>
      </c>
      <c r="AZ40" s="107">
        <f t="shared" si="14"/>
        <v>128627.73638596477</v>
      </c>
      <c r="BA40" s="108">
        <v>1000</v>
      </c>
      <c r="BB40" s="108" t="e">
        <f>AZ40/#REF!</f>
        <v>#REF!</v>
      </c>
      <c r="BC40" s="98"/>
      <c r="BD40" s="101"/>
    </row>
    <row r="41" spans="1:56" ht="15" thickBot="1" x14ac:dyDescent="0.35">
      <c r="A41" s="143">
        <f>+A40+1</f>
        <v>46005</v>
      </c>
      <c r="B41" s="208">
        <f>DAY(Tabla2[[#This Row],[FECHA]])</f>
        <v>14</v>
      </c>
      <c r="C41" s="152" t="s">
        <v>28</v>
      </c>
      <c r="D41" s="144"/>
      <c r="E41" s="145"/>
      <c r="F41" s="146"/>
      <c r="G41" s="146"/>
      <c r="H41" s="145"/>
      <c r="I41" s="290">
        <f>Tabla2[[#This Row],[VOLUMEN ENVIADO A RO (m3)]]/Tabla2[[#This Row],[Q DE OPERACIÓN (m3/h)]]</f>
        <v>5.3890545454545462</v>
      </c>
      <c r="J41" s="273">
        <v>0</v>
      </c>
      <c r="K41" s="274">
        <v>54</v>
      </c>
      <c r="L41" s="275">
        <v>54</v>
      </c>
      <c r="M41" s="274">
        <v>0</v>
      </c>
      <c r="N41" s="275">
        <v>0</v>
      </c>
      <c r="O41" s="188">
        <v>0</v>
      </c>
      <c r="P41" s="199">
        <v>473.68421052631584</v>
      </c>
      <c r="Q41" s="182">
        <v>473.68421052631584</v>
      </c>
      <c r="R41" s="199">
        <v>0</v>
      </c>
      <c r="S41" s="199">
        <v>0</v>
      </c>
      <c r="T41" s="184">
        <v>0</v>
      </c>
      <c r="U41" s="185">
        <v>0</v>
      </c>
      <c r="V41" s="185">
        <v>0</v>
      </c>
      <c r="W41" s="185">
        <v>0</v>
      </c>
      <c r="X41" s="186">
        <v>0</v>
      </c>
      <c r="Y41" s="191">
        <v>1.18</v>
      </c>
      <c r="Z41" s="191">
        <v>1.28</v>
      </c>
      <c r="AA41" s="191">
        <v>1.2</v>
      </c>
      <c r="AB41" s="191">
        <v>1.53</v>
      </c>
      <c r="AC41" s="191">
        <v>1.2</v>
      </c>
      <c r="AD41" s="200">
        <v>0</v>
      </c>
      <c r="AE41" s="201">
        <v>0</v>
      </c>
      <c r="AF41" s="201">
        <v>0</v>
      </c>
      <c r="AG41" s="201">
        <v>0</v>
      </c>
      <c r="AH41" s="202">
        <v>0</v>
      </c>
      <c r="AI41" s="401">
        <v>296.39800000000002</v>
      </c>
      <c r="AJ41" s="310">
        <v>55</v>
      </c>
      <c r="AK41" s="128">
        <f t="shared" si="5"/>
        <v>0</v>
      </c>
      <c r="AL41" s="129">
        <f t="shared" si="6"/>
        <v>0</v>
      </c>
      <c r="AM41" s="129">
        <f t="shared" si="7"/>
        <v>0</v>
      </c>
      <c r="AN41" s="129">
        <f t="shared" si="8"/>
        <v>0</v>
      </c>
      <c r="AO41" s="130">
        <f t="shared" si="9"/>
        <v>0</v>
      </c>
      <c r="AP41" s="104">
        <f t="shared" si="15"/>
        <v>1550</v>
      </c>
      <c r="AQ41" s="105">
        <f t="shared" si="15"/>
        <v>19462</v>
      </c>
      <c r="AR41" s="105">
        <f t="shared" si="15"/>
        <v>36854</v>
      </c>
      <c r="AS41" s="105">
        <f t="shared" si="15"/>
        <v>1560</v>
      </c>
      <c r="AT41" s="106">
        <f t="shared" si="15"/>
        <v>3640</v>
      </c>
      <c r="AU41" s="104">
        <f t="shared" si="1"/>
        <v>0</v>
      </c>
      <c r="AV41" s="105">
        <f t="shared" si="11"/>
        <v>0</v>
      </c>
      <c r="AW41" s="105">
        <f t="shared" si="12"/>
        <v>0</v>
      </c>
      <c r="AX41" s="105">
        <f t="shared" si="2"/>
        <v>0</v>
      </c>
      <c r="AY41" s="106">
        <f t="shared" si="3"/>
        <v>26972.218000000004</v>
      </c>
      <c r="AZ41" s="104">
        <f t="shared" si="14"/>
        <v>26972.218000000004</v>
      </c>
      <c r="BA41" s="105">
        <v>1000</v>
      </c>
      <c r="BB41" s="105" t="e">
        <f>AZ41/#REF!</f>
        <v>#REF!</v>
      </c>
      <c r="BC41" s="99"/>
      <c r="BD41" s="100"/>
    </row>
    <row r="42" spans="1:56" ht="15" thickBot="1" x14ac:dyDescent="0.35">
      <c r="A42" s="147">
        <f>+A41</f>
        <v>46005</v>
      </c>
      <c r="B42" s="206">
        <f>DAY(Tabla2[[#This Row],[FECHA]])</f>
        <v>14</v>
      </c>
      <c r="C42" s="132" t="s">
        <v>29</v>
      </c>
      <c r="D42" s="125"/>
      <c r="E42" s="126"/>
      <c r="F42" s="127"/>
      <c r="G42" s="127"/>
      <c r="H42" s="126"/>
      <c r="I42" s="290">
        <f>Tabla2[[#This Row],[VOLUMEN ENVIADO A RO (m3)]]/Tabla2[[#This Row],[Q DE OPERACIÓN (m3/h)]]</f>
        <v>4.215672727272727</v>
      </c>
      <c r="J42" s="276">
        <v>0</v>
      </c>
      <c r="K42" s="277">
        <v>54</v>
      </c>
      <c r="L42" s="278">
        <v>54</v>
      </c>
      <c r="M42" s="277">
        <v>0</v>
      </c>
      <c r="N42" s="278">
        <v>0</v>
      </c>
      <c r="O42" s="188">
        <v>0</v>
      </c>
      <c r="P42" s="189">
        <v>473.68421052631584</v>
      </c>
      <c r="Q42" s="189">
        <v>473.68421052631584</v>
      </c>
      <c r="R42" s="189">
        <v>0</v>
      </c>
      <c r="S42" s="189">
        <v>0</v>
      </c>
      <c r="T42" s="184">
        <v>0</v>
      </c>
      <c r="U42" s="185">
        <v>35.087719298245645</v>
      </c>
      <c r="V42" s="185">
        <v>140.35087719298247</v>
      </c>
      <c r="W42" s="185">
        <v>0</v>
      </c>
      <c r="X42" s="186">
        <v>0</v>
      </c>
      <c r="Y42" s="191">
        <v>1.18</v>
      </c>
      <c r="Z42" s="191">
        <v>1.28</v>
      </c>
      <c r="AA42" s="191">
        <v>1.2</v>
      </c>
      <c r="AB42" s="191">
        <v>1.53</v>
      </c>
      <c r="AC42" s="191">
        <v>1.2</v>
      </c>
      <c r="AD42" s="184">
        <v>0</v>
      </c>
      <c r="AE42" s="185">
        <v>44.912280701754426</v>
      </c>
      <c r="AF42" s="185">
        <v>168.42105263157896</v>
      </c>
      <c r="AG42" s="185">
        <v>0</v>
      </c>
      <c r="AH42" s="186">
        <v>0</v>
      </c>
      <c r="AI42" s="402">
        <v>231.86199999999999</v>
      </c>
      <c r="AJ42" s="310">
        <v>55</v>
      </c>
      <c r="AK42" s="128">
        <f t="shared" si="5"/>
        <v>0</v>
      </c>
      <c r="AL42" s="129">
        <f t="shared" si="6"/>
        <v>193.70263648961205</v>
      </c>
      <c r="AM42" s="129">
        <f t="shared" si="7"/>
        <v>726.38488683604453</v>
      </c>
      <c r="AN42" s="129">
        <f t="shared" si="8"/>
        <v>0</v>
      </c>
      <c r="AO42" s="130">
        <f t="shared" si="9"/>
        <v>0</v>
      </c>
      <c r="AP42" s="104">
        <f t="shared" si="15"/>
        <v>1550</v>
      </c>
      <c r="AQ42" s="105">
        <f t="shared" si="15"/>
        <v>19462</v>
      </c>
      <c r="AR42" s="105">
        <f t="shared" si="15"/>
        <v>36854</v>
      </c>
      <c r="AS42" s="105">
        <f t="shared" si="15"/>
        <v>1560</v>
      </c>
      <c r="AT42" s="106">
        <f t="shared" si="15"/>
        <v>3640</v>
      </c>
      <c r="AU42" s="104">
        <f t="shared" si="1"/>
        <v>55691.228070175493</v>
      </c>
      <c r="AV42" s="105">
        <f t="shared" si="11"/>
        <v>39333.726315789478</v>
      </c>
      <c r="AW42" s="105">
        <f t="shared" si="12"/>
        <v>0</v>
      </c>
      <c r="AX42" s="105">
        <f t="shared" si="2"/>
        <v>0</v>
      </c>
      <c r="AY42" s="106">
        <f t="shared" si="3"/>
        <v>21099.441999999999</v>
      </c>
      <c r="AZ42" s="104">
        <f t="shared" si="14"/>
        <v>116124.39638596497</v>
      </c>
      <c r="BA42" s="105">
        <v>1000</v>
      </c>
      <c r="BB42" s="105" t="e">
        <f>AZ42/#REF!</f>
        <v>#REF!</v>
      </c>
      <c r="BC42" s="99"/>
      <c r="BD42" s="100"/>
    </row>
    <row r="43" spans="1:56" ht="15" thickBot="1" x14ac:dyDescent="0.35">
      <c r="A43" s="148">
        <f>+A42</f>
        <v>46005</v>
      </c>
      <c r="B43" s="207">
        <f>DAY(Tabla2[[#This Row],[FECHA]])</f>
        <v>14</v>
      </c>
      <c r="C43" s="137" t="s">
        <v>30</v>
      </c>
      <c r="D43" s="149"/>
      <c r="E43" s="150"/>
      <c r="F43" s="151"/>
      <c r="G43" s="151"/>
      <c r="H43" s="150"/>
      <c r="I43" s="290">
        <f>Tabla2[[#This Row],[VOLUMEN ENVIADO A RO (m3)]]/Tabla2[[#This Row],[Q DE OPERACIÓN (m3/h)]]</f>
        <v>7.3676000000000004</v>
      </c>
      <c r="J43" s="279">
        <v>0</v>
      </c>
      <c r="K43" s="280">
        <v>50</v>
      </c>
      <c r="L43" s="281">
        <v>38</v>
      </c>
      <c r="M43" s="280">
        <v>0</v>
      </c>
      <c r="N43" s="281">
        <v>0</v>
      </c>
      <c r="O43" s="188">
        <v>0</v>
      </c>
      <c r="P43" s="193">
        <v>438.59649122807019</v>
      </c>
      <c r="Q43" s="193">
        <v>333.33333333333337</v>
      </c>
      <c r="R43" s="193">
        <v>0</v>
      </c>
      <c r="S43" s="193">
        <v>0</v>
      </c>
      <c r="T43" s="184">
        <v>0</v>
      </c>
      <c r="U43" s="185">
        <v>71.403508771929808</v>
      </c>
      <c r="V43" s="185">
        <v>61.403508771929864</v>
      </c>
      <c r="W43" s="185">
        <v>0</v>
      </c>
      <c r="X43" s="186">
        <v>0</v>
      </c>
      <c r="Y43" s="191">
        <v>1.18</v>
      </c>
      <c r="Z43" s="191">
        <v>1.28</v>
      </c>
      <c r="AA43" s="191">
        <v>1.2</v>
      </c>
      <c r="AB43" s="191">
        <v>1.53</v>
      </c>
      <c r="AC43" s="191">
        <v>1.2</v>
      </c>
      <c r="AD43" s="195">
        <v>0</v>
      </c>
      <c r="AE43" s="196">
        <v>91.396491228070161</v>
      </c>
      <c r="AF43" s="196">
        <v>73.684210526315837</v>
      </c>
      <c r="AG43" s="196">
        <v>0</v>
      </c>
      <c r="AH43" s="197">
        <v>0</v>
      </c>
      <c r="AI43" s="403">
        <v>405.21800000000002</v>
      </c>
      <c r="AJ43" s="310">
        <v>55</v>
      </c>
      <c r="AK43" s="128">
        <f t="shared" si="5"/>
        <v>0</v>
      </c>
      <c r="AL43" s="129">
        <f t="shared" si="6"/>
        <v>225.54894212021719</v>
      </c>
      <c r="AM43" s="129">
        <f t="shared" si="7"/>
        <v>181.83844381620719</v>
      </c>
      <c r="AN43" s="129">
        <f t="shared" si="8"/>
        <v>0</v>
      </c>
      <c r="AO43" s="130">
        <f t="shared" si="9"/>
        <v>0</v>
      </c>
      <c r="AP43" s="104">
        <f t="shared" si="15"/>
        <v>1550</v>
      </c>
      <c r="AQ43" s="105">
        <f t="shared" si="15"/>
        <v>19462</v>
      </c>
      <c r="AR43" s="105">
        <f t="shared" si="15"/>
        <v>36854</v>
      </c>
      <c r="AS43" s="105">
        <f t="shared" si="15"/>
        <v>1560</v>
      </c>
      <c r="AT43" s="106">
        <f t="shared" si="15"/>
        <v>3640</v>
      </c>
      <c r="AU43" s="107">
        <f t="shared" si="1"/>
        <v>113331.64912280701</v>
      </c>
      <c r="AV43" s="108">
        <f t="shared" si="11"/>
        <v>17208.505263157906</v>
      </c>
      <c r="AW43" s="108">
        <f t="shared" si="12"/>
        <v>0</v>
      </c>
      <c r="AX43" s="108">
        <f t="shared" si="2"/>
        <v>0</v>
      </c>
      <c r="AY43" s="109">
        <f t="shared" si="3"/>
        <v>36874.838000000003</v>
      </c>
      <c r="AZ43" s="107">
        <f t="shared" si="14"/>
        <v>167414.9923859649</v>
      </c>
      <c r="BA43" s="108">
        <v>1000</v>
      </c>
      <c r="BB43" s="108" t="e">
        <f>AZ43/#REF!</f>
        <v>#REF!</v>
      </c>
      <c r="BC43" s="98"/>
      <c r="BD43" s="101"/>
    </row>
    <row r="44" spans="1:56" ht="15" thickBot="1" x14ac:dyDescent="0.35">
      <c r="A44" s="143">
        <f>+A43+1</f>
        <v>46006</v>
      </c>
      <c r="B44" s="208">
        <f>DAY(Tabla2[[#This Row],[FECHA]])</f>
        <v>15</v>
      </c>
      <c r="C44" s="152" t="s">
        <v>28</v>
      </c>
      <c r="D44" s="144"/>
      <c r="E44" s="145"/>
      <c r="F44" s="146"/>
      <c r="G44" s="146"/>
      <c r="H44" s="145"/>
      <c r="I44" s="290">
        <f>Tabla2[[#This Row],[VOLUMEN ENVIADO A RO (m3)]]/Tabla2[[#This Row],[Q DE OPERACIÓN (m3/h)]]</f>
        <v>8.327272727272728</v>
      </c>
      <c r="J44" s="273">
        <v>0</v>
      </c>
      <c r="K44" s="274">
        <v>43</v>
      </c>
      <c r="L44" s="275">
        <v>31</v>
      </c>
      <c r="M44" s="274">
        <v>0</v>
      </c>
      <c r="N44" s="275">
        <v>0</v>
      </c>
      <c r="O44" s="188">
        <v>0</v>
      </c>
      <c r="P44" s="199">
        <v>377.19298245614038</v>
      </c>
      <c r="Q44" s="182">
        <v>271.92982456140351</v>
      </c>
      <c r="R44" s="199">
        <v>0</v>
      </c>
      <c r="S44" s="199">
        <v>0</v>
      </c>
      <c r="T44" s="184">
        <v>0</v>
      </c>
      <c r="U44" s="185">
        <v>26.31578947368422</v>
      </c>
      <c r="V44" s="185">
        <v>17.543859649122794</v>
      </c>
      <c r="W44" s="185">
        <v>0</v>
      </c>
      <c r="X44" s="186">
        <v>0</v>
      </c>
      <c r="Y44" s="191">
        <v>1.18</v>
      </c>
      <c r="Z44" s="191">
        <v>1.28</v>
      </c>
      <c r="AA44" s="191">
        <v>1.2</v>
      </c>
      <c r="AB44" s="191">
        <v>1.53</v>
      </c>
      <c r="AC44" s="191">
        <v>1.2</v>
      </c>
      <c r="AD44" s="200">
        <v>0</v>
      </c>
      <c r="AE44" s="201">
        <v>33.684210526315802</v>
      </c>
      <c r="AF44" s="201">
        <v>21.052631578947352</v>
      </c>
      <c r="AG44" s="201">
        <v>0</v>
      </c>
      <c r="AH44" s="202">
        <v>0</v>
      </c>
      <c r="AI44" s="401">
        <v>458</v>
      </c>
      <c r="AJ44" s="310">
        <v>55</v>
      </c>
      <c r="AK44" s="128">
        <f t="shared" si="5"/>
        <v>0</v>
      </c>
      <c r="AL44" s="129">
        <f t="shared" si="6"/>
        <v>73.546311192829265</v>
      </c>
      <c r="AM44" s="129">
        <f t="shared" si="7"/>
        <v>45.966444495518239</v>
      </c>
      <c r="AN44" s="129">
        <f t="shared" si="8"/>
        <v>0</v>
      </c>
      <c r="AO44" s="130">
        <f t="shared" si="9"/>
        <v>0</v>
      </c>
      <c r="AP44" s="104">
        <f t="shared" si="15"/>
        <v>1550</v>
      </c>
      <c r="AQ44" s="105">
        <f t="shared" si="15"/>
        <v>19462</v>
      </c>
      <c r="AR44" s="105">
        <f t="shared" si="15"/>
        <v>36854</v>
      </c>
      <c r="AS44" s="105">
        <f t="shared" si="15"/>
        <v>1560</v>
      </c>
      <c r="AT44" s="106">
        <f t="shared" si="15"/>
        <v>3640</v>
      </c>
      <c r="AU44" s="104">
        <f t="shared" si="1"/>
        <v>41768.421052631602</v>
      </c>
      <c r="AV44" s="105">
        <f t="shared" si="11"/>
        <v>4916.7157894736802</v>
      </c>
      <c r="AW44" s="105">
        <f t="shared" si="12"/>
        <v>0</v>
      </c>
      <c r="AX44" s="105">
        <f t="shared" si="2"/>
        <v>0</v>
      </c>
      <c r="AY44" s="106">
        <f t="shared" si="3"/>
        <v>41678.000000000007</v>
      </c>
      <c r="AZ44" s="104">
        <f t="shared" si="14"/>
        <v>88363.13684210529</v>
      </c>
      <c r="BA44" s="105">
        <v>1000</v>
      </c>
      <c r="BB44" s="105" t="e">
        <f>AZ44/#REF!</f>
        <v>#REF!</v>
      </c>
      <c r="BC44" s="99"/>
      <c r="BD44" s="100"/>
    </row>
    <row r="45" spans="1:56" ht="15" thickBot="1" x14ac:dyDescent="0.35">
      <c r="A45" s="147">
        <f>+A44</f>
        <v>46006</v>
      </c>
      <c r="B45" s="206">
        <f>DAY(Tabla2[[#This Row],[FECHA]])</f>
        <v>15</v>
      </c>
      <c r="C45" s="132" t="s">
        <v>29</v>
      </c>
      <c r="D45" s="133"/>
      <c r="E45" s="134"/>
      <c r="F45" s="135"/>
      <c r="G45" s="135"/>
      <c r="H45" s="134"/>
      <c r="I45" s="290">
        <f>Tabla2[[#This Row],[VOLUMEN ENVIADO A RO (m3)]]/Tabla2[[#This Row],[Q DE OPERACIÓN (m3/h)]]</f>
        <v>7.9636363636363638</v>
      </c>
      <c r="J45" s="276">
        <v>0</v>
      </c>
      <c r="K45" s="277">
        <v>40</v>
      </c>
      <c r="L45" s="278">
        <v>29</v>
      </c>
      <c r="M45" s="277">
        <v>0</v>
      </c>
      <c r="N45" s="278">
        <v>0</v>
      </c>
      <c r="O45" s="188">
        <v>0</v>
      </c>
      <c r="P45" s="189">
        <v>350.87719298245617</v>
      </c>
      <c r="Q45" s="189">
        <v>254.38596491228071</v>
      </c>
      <c r="R45" s="189">
        <v>0</v>
      </c>
      <c r="S45" s="189">
        <v>0</v>
      </c>
      <c r="T45" s="184">
        <v>0</v>
      </c>
      <c r="U45" s="185">
        <v>35.087719298245645</v>
      </c>
      <c r="V45" s="185">
        <v>78.94736842105263</v>
      </c>
      <c r="W45" s="185">
        <v>0</v>
      </c>
      <c r="X45" s="186">
        <v>0</v>
      </c>
      <c r="Y45" s="191">
        <v>1.18</v>
      </c>
      <c r="Z45" s="191">
        <v>1.28</v>
      </c>
      <c r="AA45" s="191">
        <v>1.2</v>
      </c>
      <c r="AB45" s="191">
        <v>1.53</v>
      </c>
      <c r="AC45" s="191">
        <v>1.2</v>
      </c>
      <c r="AD45" s="184">
        <v>0</v>
      </c>
      <c r="AE45" s="185">
        <v>44.912280701754426</v>
      </c>
      <c r="AF45" s="185">
        <v>94.73684210526315</v>
      </c>
      <c r="AG45" s="185">
        <v>0</v>
      </c>
      <c r="AH45" s="186">
        <v>0</v>
      </c>
      <c r="AI45" s="402">
        <v>438</v>
      </c>
      <c r="AJ45" s="310">
        <v>55</v>
      </c>
      <c r="AK45" s="128">
        <f t="shared" si="5"/>
        <v>0</v>
      </c>
      <c r="AL45" s="129">
        <f t="shared" si="6"/>
        <v>102.53945365697358</v>
      </c>
      <c r="AM45" s="129">
        <f t="shared" si="7"/>
        <v>216.29416005767843</v>
      </c>
      <c r="AN45" s="129">
        <f t="shared" si="8"/>
        <v>0</v>
      </c>
      <c r="AO45" s="130">
        <f t="shared" si="9"/>
        <v>0</v>
      </c>
      <c r="AP45" s="104">
        <f t="shared" si="15"/>
        <v>1550</v>
      </c>
      <c r="AQ45" s="105">
        <f t="shared" si="15"/>
        <v>19462</v>
      </c>
      <c r="AR45" s="105">
        <f t="shared" si="15"/>
        <v>36854</v>
      </c>
      <c r="AS45" s="105">
        <f t="shared" si="15"/>
        <v>1560</v>
      </c>
      <c r="AT45" s="106">
        <f t="shared" si="15"/>
        <v>3640</v>
      </c>
      <c r="AU45" s="104">
        <f t="shared" si="1"/>
        <v>55691.228070175493</v>
      </c>
      <c r="AV45" s="105">
        <f t="shared" si="11"/>
        <v>22125.221052631579</v>
      </c>
      <c r="AW45" s="105">
        <f t="shared" si="12"/>
        <v>0</v>
      </c>
      <c r="AX45" s="105">
        <f t="shared" si="2"/>
        <v>0</v>
      </c>
      <c r="AY45" s="106">
        <f t="shared" si="3"/>
        <v>39858.000000000007</v>
      </c>
      <c r="AZ45" s="104">
        <f t="shared" si="14"/>
        <v>117674.44912280707</v>
      </c>
      <c r="BA45" s="105">
        <v>1000</v>
      </c>
      <c r="BB45" s="105" t="e">
        <f>AZ45/#REF!</f>
        <v>#REF!</v>
      </c>
      <c r="BC45" s="99"/>
      <c r="BD45" s="100"/>
    </row>
    <row r="46" spans="1:56" ht="15" thickBot="1" x14ac:dyDescent="0.35">
      <c r="A46" s="148">
        <f>+A45</f>
        <v>46006</v>
      </c>
      <c r="B46" s="207">
        <f>DAY(Tabla2[[#This Row],[FECHA]])</f>
        <v>15</v>
      </c>
      <c r="C46" s="137" t="s">
        <v>30</v>
      </c>
      <c r="D46" s="138"/>
      <c r="E46" s="139"/>
      <c r="F46" s="140"/>
      <c r="G46" s="141"/>
      <c r="H46" s="142"/>
      <c r="I46" s="290">
        <f>Tabla2[[#This Row],[VOLUMEN ENVIADO A RO (m3)]]/Tabla2[[#This Row],[Q DE OPERACIÓN (m3/h)]]</f>
        <v>8.1538727272727272</v>
      </c>
      <c r="J46" s="279">
        <v>0</v>
      </c>
      <c r="K46" s="280">
        <v>36</v>
      </c>
      <c r="L46" s="281">
        <v>20</v>
      </c>
      <c r="M46" s="280">
        <v>0</v>
      </c>
      <c r="N46" s="281">
        <v>0</v>
      </c>
      <c r="O46" s="188">
        <v>0</v>
      </c>
      <c r="P46" s="193">
        <v>315.78947368421052</v>
      </c>
      <c r="Q46" s="193">
        <v>175.43859649122808</v>
      </c>
      <c r="R46" s="193">
        <v>0</v>
      </c>
      <c r="S46" s="193">
        <v>0</v>
      </c>
      <c r="T46" s="184">
        <v>0</v>
      </c>
      <c r="U46" s="185">
        <v>35.087719298245588</v>
      </c>
      <c r="V46" s="185">
        <v>43.859649122807014</v>
      </c>
      <c r="W46" s="185">
        <v>0</v>
      </c>
      <c r="X46" s="186">
        <v>0</v>
      </c>
      <c r="Y46" s="191">
        <v>1.18</v>
      </c>
      <c r="Z46" s="191">
        <v>1.28</v>
      </c>
      <c r="AA46" s="191">
        <v>1.2</v>
      </c>
      <c r="AB46" s="191">
        <v>1.53</v>
      </c>
      <c r="AC46" s="191">
        <v>1.2</v>
      </c>
      <c r="AD46" s="195">
        <v>0</v>
      </c>
      <c r="AE46" s="196">
        <v>44.912280701754355</v>
      </c>
      <c r="AF46" s="196">
        <v>52.631578947368418</v>
      </c>
      <c r="AG46" s="196">
        <v>0</v>
      </c>
      <c r="AH46" s="197">
        <v>0</v>
      </c>
      <c r="AI46" s="403">
        <v>448.46300000000002</v>
      </c>
      <c r="AJ46" s="310">
        <v>55</v>
      </c>
      <c r="AK46" s="128">
        <f t="shared" si="5"/>
        <v>0</v>
      </c>
      <c r="AL46" s="129">
        <f t="shared" si="6"/>
        <v>100.14712629972674</v>
      </c>
      <c r="AM46" s="129">
        <f t="shared" si="7"/>
        <v>117.35991363249235</v>
      </c>
      <c r="AN46" s="129">
        <f t="shared" si="8"/>
        <v>0</v>
      </c>
      <c r="AO46" s="130">
        <f t="shared" si="9"/>
        <v>0</v>
      </c>
      <c r="AP46" s="104">
        <f t="shared" si="15"/>
        <v>1550</v>
      </c>
      <c r="AQ46" s="105">
        <f t="shared" si="15"/>
        <v>19462</v>
      </c>
      <c r="AR46" s="105">
        <f t="shared" si="15"/>
        <v>36854</v>
      </c>
      <c r="AS46" s="105">
        <f t="shared" si="15"/>
        <v>1560</v>
      </c>
      <c r="AT46" s="106">
        <f t="shared" si="15"/>
        <v>3640</v>
      </c>
      <c r="AU46" s="107">
        <f t="shared" si="1"/>
        <v>55691.228070175399</v>
      </c>
      <c r="AV46" s="108">
        <f t="shared" si="11"/>
        <v>12291.78947368421</v>
      </c>
      <c r="AW46" s="108">
        <f t="shared" si="12"/>
        <v>0</v>
      </c>
      <c r="AX46" s="108">
        <f t="shared" si="2"/>
        <v>0</v>
      </c>
      <c r="AY46" s="109">
        <f t="shared" si="3"/>
        <v>40810.133000000009</v>
      </c>
      <c r="AZ46" s="107">
        <f t="shared" si="14"/>
        <v>108793.15054385961</v>
      </c>
      <c r="BA46" s="108">
        <v>1000</v>
      </c>
      <c r="BB46" s="108" t="e">
        <f>AZ46/#REF!</f>
        <v>#REF!</v>
      </c>
      <c r="BC46" s="98"/>
      <c r="BD46" s="101"/>
    </row>
    <row r="47" spans="1:56" ht="15" thickBot="1" x14ac:dyDescent="0.35">
      <c r="A47" s="143">
        <f>+A46+1</f>
        <v>46007</v>
      </c>
      <c r="B47" s="208">
        <f>DAY(Tabla2[[#This Row],[FECHA]])</f>
        <v>16</v>
      </c>
      <c r="C47" s="152" t="s">
        <v>28</v>
      </c>
      <c r="D47" s="144"/>
      <c r="E47" s="145"/>
      <c r="F47" s="146"/>
      <c r="G47" s="146"/>
      <c r="H47" s="145"/>
      <c r="I47" s="290">
        <f>Tabla2[[#This Row],[VOLUMEN ENVIADO A RO (m3)]]/Tabla2[[#This Row],[Q DE OPERACIÓN (m3/h)]]</f>
        <v>6.6536181818181817</v>
      </c>
      <c r="J47" s="273">
        <v>0</v>
      </c>
      <c r="K47" s="274">
        <v>32</v>
      </c>
      <c r="L47" s="275">
        <v>15</v>
      </c>
      <c r="M47" s="274">
        <v>0</v>
      </c>
      <c r="N47" s="275">
        <v>0</v>
      </c>
      <c r="O47" s="188">
        <v>0</v>
      </c>
      <c r="P47" s="199">
        <v>280.70175438596493</v>
      </c>
      <c r="Q47" s="182">
        <v>131.57894736842107</v>
      </c>
      <c r="R47" s="199">
        <v>0</v>
      </c>
      <c r="S47" s="199">
        <v>0</v>
      </c>
      <c r="T47" s="184">
        <v>0</v>
      </c>
      <c r="U47" s="185">
        <v>17.543859649122794</v>
      </c>
      <c r="V47" s="185">
        <v>35.087719298245617</v>
      </c>
      <c r="W47" s="185">
        <v>0</v>
      </c>
      <c r="X47" s="186">
        <v>0</v>
      </c>
      <c r="Y47" s="191">
        <v>1.18</v>
      </c>
      <c r="Z47" s="191">
        <v>1.28</v>
      </c>
      <c r="AA47" s="191">
        <v>1.2</v>
      </c>
      <c r="AB47" s="191">
        <v>1.53</v>
      </c>
      <c r="AC47" s="191">
        <v>1.2</v>
      </c>
      <c r="AD47" s="200">
        <v>0</v>
      </c>
      <c r="AE47" s="201">
        <v>22.456140350877178</v>
      </c>
      <c r="AF47" s="201">
        <v>42.10526315789474</v>
      </c>
      <c r="AG47" s="201">
        <v>0</v>
      </c>
      <c r="AH47" s="202">
        <v>0</v>
      </c>
      <c r="AI47" s="401">
        <v>365.94900000000001</v>
      </c>
      <c r="AJ47" s="310">
        <v>55</v>
      </c>
      <c r="AK47" s="128">
        <f t="shared" si="5"/>
        <v>0</v>
      </c>
      <c r="AL47" s="129">
        <f t="shared" si="6"/>
        <v>61.364125467967327</v>
      </c>
      <c r="AM47" s="129">
        <f t="shared" si="7"/>
        <v>115.05773525243883</v>
      </c>
      <c r="AN47" s="129">
        <f t="shared" si="8"/>
        <v>0</v>
      </c>
      <c r="AO47" s="130">
        <f t="shared" si="9"/>
        <v>0</v>
      </c>
      <c r="AP47" s="104">
        <f t="shared" si="15"/>
        <v>1550</v>
      </c>
      <c r="AQ47" s="105">
        <f t="shared" si="15"/>
        <v>19462</v>
      </c>
      <c r="AR47" s="105">
        <f t="shared" si="15"/>
        <v>36854</v>
      </c>
      <c r="AS47" s="105">
        <f t="shared" si="15"/>
        <v>1560</v>
      </c>
      <c r="AT47" s="106">
        <f t="shared" si="15"/>
        <v>3640</v>
      </c>
      <c r="AU47" s="104">
        <f t="shared" si="1"/>
        <v>27845.614035087699</v>
      </c>
      <c r="AV47" s="105">
        <f t="shared" si="11"/>
        <v>9833.4315789473694</v>
      </c>
      <c r="AW47" s="105">
        <f t="shared" si="12"/>
        <v>0</v>
      </c>
      <c r="AX47" s="105">
        <f t="shared" si="2"/>
        <v>0</v>
      </c>
      <c r="AY47" s="106">
        <f t="shared" si="3"/>
        <v>33301.359000000004</v>
      </c>
      <c r="AZ47" s="104">
        <f t="shared" si="14"/>
        <v>70980.404614035069</v>
      </c>
      <c r="BA47" s="105">
        <v>1000</v>
      </c>
      <c r="BB47" s="105" t="e">
        <f>AZ47/#REF!</f>
        <v>#REF!</v>
      </c>
      <c r="BC47" s="99"/>
      <c r="BD47" s="100"/>
    </row>
    <row r="48" spans="1:56" ht="15" thickBot="1" x14ac:dyDescent="0.35">
      <c r="A48" s="147">
        <f>+A47</f>
        <v>46007</v>
      </c>
      <c r="B48" s="206">
        <f>DAY(Tabla2[[#This Row],[FECHA]])</f>
        <v>16</v>
      </c>
      <c r="C48" s="132" t="s">
        <v>29</v>
      </c>
      <c r="D48" s="133"/>
      <c r="E48" s="134"/>
      <c r="F48" s="135"/>
      <c r="G48" s="135"/>
      <c r="H48" s="134"/>
      <c r="I48" s="290">
        <f>Tabla2[[#This Row],[VOLUMEN ENVIADO A RO (m3)]]/Tabla2[[#This Row],[Q DE OPERACIÓN (m3/h)]]</f>
        <v>4.7499636363636366</v>
      </c>
      <c r="J48" s="276">
        <v>0</v>
      </c>
      <c r="K48" s="277">
        <v>30</v>
      </c>
      <c r="L48" s="278">
        <v>11</v>
      </c>
      <c r="M48" s="277">
        <v>0</v>
      </c>
      <c r="N48" s="278">
        <v>0</v>
      </c>
      <c r="O48" s="188">
        <v>0</v>
      </c>
      <c r="P48" s="189">
        <v>263.15789473684214</v>
      </c>
      <c r="Q48" s="189">
        <v>96.491228070175453</v>
      </c>
      <c r="R48" s="189">
        <v>0</v>
      </c>
      <c r="S48" s="189">
        <v>0</v>
      </c>
      <c r="T48" s="184">
        <v>0</v>
      </c>
      <c r="U48" s="185">
        <v>26.31578947368422</v>
      </c>
      <c r="V48" s="185">
        <v>17.543859649122822</v>
      </c>
      <c r="W48" s="185">
        <v>0</v>
      </c>
      <c r="X48" s="186">
        <v>0</v>
      </c>
      <c r="Y48" s="191">
        <v>1.18</v>
      </c>
      <c r="Z48" s="191">
        <v>1.28</v>
      </c>
      <c r="AA48" s="191">
        <v>1.2</v>
      </c>
      <c r="AB48" s="191">
        <v>1.53</v>
      </c>
      <c r="AC48" s="191">
        <v>1.2</v>
      </c>
      <c r="AD48" s="184">
        <v>0</v>
      </c>
      <c r="AE48" s="185">
        <v>33.684210526315802</v>
      </c>
      <c r="AF48" s="185">
        <v>21.052631578947388</v>
      </c>
      <c r="AG48" s="185">
        <v>0</v>
      </c>
      <c r="AH48" s="186">
        <v>0</v>
      </c>
      <c r="AI48" s="402">
        <v>261.24799999999999</v>
      </c>
      <c r="AJ48" s="310">
        <v>55</v>
      </c>
      <c r="AK48" s="128">
        <f t="shared" si="5"/>
        <v>0</v>
      </c>
      <c r="AL48" s="129">
        <f t="shared" si="6"/>
        <v>128.93576420227447</v>
      </c>
      <c r="AM48" s="129">
        <f t="shared" si="7"/>
        <v>80.584852626421593</v>
      </c>
      <c r="AN48" s="129">
        <f t="shared" si="8"/>
        <v>0</v>
      </c>
      <c r="AO48" s="130">
        <f t="shared" si="9"/>
        <v>0</v>
      </c>
      <c r="AP48" s="104">
        <f t="shared" si="15"/>
        <v>1550</v>
      </c>
      <c r="AQ48" s="105">
        <f t="shared" si="15"/>
        <v>19462</v>
      </c>
      <c r="AR48" s="105">
        <f t="shared" si="15"/>
        <v>36854</v>
      </c>
      <c r="AS48" s="105">
        <f t="shared" si="15"/>
        <v>1560</v>
      </c>
      <c r="AT48" s="106">
        <f t="shared" si="15"/>
        <v>3640</v>
      </c>
      <c r="AU48" s="104">
        <f t="shared" si="1"/>
        <v>41768.421052631602</v>
      </c>
      <c r="AV48" s="105">
        <f t="shared" si="11"/>
        <v>4916.7157894736883</v>
      </c>
      <c r="AW48" s="105">
        <f t="shared" si="12"/>
        <v>0</v>
      </c>
      <c r="AX48" s="105">
        <f t="shared" si="2"/>
        <v>0</v>
      </c>
      <c r="AY48" s="106">
        <f t="shared" si="3"/>
        <v>23773.567999999999</v>
      </c>
      <c r="AZ48" s="104">
        <f t="shared" si="14"/>
        <v>70458.70484210529</v>
      </c>
      <c r="BA48" s="105">
        <v>1000</v>
      </c>
      <c r="BB48" s="105" t="e">
        <f>AZ48/#REF!</f>
        <v>#REF!</v>
      </c>
      <c r="BC48" s="99"/>
      <c r="BD48" s="100"/>
    </row>
    <row r="49" spans="1:56" ht="15" thickBot="1" x14ac:dyDescent="0.35">
      <c r="A49" s="148">
        <f>+A48</f>
        <v>46007</v>
      </c>
      <c r="B49" s="207">
        <f>DAY(Tabla2[[#This Row],[FECHA]])</f>
        <v>16</v>
      </c>
      <c r="C49" s="137" t="s">
        <v>30</v>
      </c>
      <c r="D49" s="138"/>
      <c r="E49" s="139"/>
      <c r="F49" s="140"/>
      <c r="G49" s="141"/>
      <c r="H49" s="142"/>
      <c r="I49" s="290">
        <f>Tabla2[[#This Row],[VOLUMEN ENVIADO A RO (m3)]]/Tabla2[[#This Row],[Q DE OPERACIÓN (m3/h)]]</f>
        <v>3.8919272727272731</v>
      </c>
      <c r="J49" s="276">
        <v>0</v>
      </c>
      <c r="K49" s="277">
        <v>27</v>
      </c>
      <c r="L49" s="278">
        <v>9</v>
      </c>
      <c r="M49" s="277">
        <v>0</v>
      </c>
      <c r="N49" s="278">
        <v>0</v>
      </c>
      <c r="O49" s="188">
        <v>0</v>
      </c>
      <c r="P49" s="193">
        <v>236.84210526315792</v>
      </c>
      <c r="Q49" s="193">
        <v>78.94736842105263</v>
      </c>
      <c r="R49" s="193">
        <v>0</v>
      </c>
      <c r="S49" s="193">
        <v>0</v>
      </c>
      <c r="T49" s="184">
        <v>0</v>
      </c>
      <c r="U49" s="185">
        <v>8.7719298245614254</v>
      </c>
      <c r="V49" s="185">
        <v>17.543859649122801</v>
      </c>
      <c r="W49" s="185">
        <v>0</v>
      </c>
      <c r="X49" s="186">
        <v>0</v>
      </c>
      <c r="Y49" s="191">
        <v>1.18</v>
      </c>
      <c r="Z49" s="191">
        <v>1.28</v>
      </c>
      <c r="AA49" s="191">
        <v>1.2</v>
      </c>
      <c r="AB49" s="191">
        <v>1.53</v>
      </c>
      <c r="AC49" s="191">
        <v>1.2</v>
      </c>
      <c r="AD49" s="195">
        <v>0</v>
      </c>
      <c r="AE49" s="196">
        <v>11.228070175438624</v>
      </c>
      <c r="AF49" s="196">
        <v>21.052631578947359</v>
      </c>
      <c r="AG49" s="196">
        <v>0</v>
      </c>
      <c r="AH49" s="197">
        <v>0</v>
      </c>
      <c r="AI49" s="403">
        <v>214.05600000000001</v>
      </c>
      <c r="AJ49" s="310">
        <v>55</v>
      </c>
      <c r="AK49" s="128">
        <f t="shared" si="5"/>
        <v>0</v>
      </c>
      <c r="AL49" s="129">
        <f t="shared" si="6"/>
        <v>52.453891390283964</v>
      </c>
      <c r="AM49" s="129">
        <f t="shared" si="7"/>
        <v>98.351046356782135</v>
      </c>
      <c r="AN49" s="129">
        <f t="shared" si="8"/>
        <v>0</v>
      </c>
      <c r="AO49" s="130">
        <f t="shared" si="9"/>
        <v>0</v>
      </c>
      <c r="AP49" s="104">
        <f t="shared" si="15"/>
        <v>1550</v>
      </c>
      <c r="AQ49" s="105">
        <f t="shared" si="15"/>
        <v>19462</v>
      </c>
      <c r="AR49" s="105">
        <f t="shared" si="15"/>
        <v>36854</v>
      </c>
      <c r="AS49" s="105">
        <f t="shared" si="15"/>
        <v>1560</v>
      </c>
      <c r="AT49" s="106">
        <f t="shared" si="15"/>
        <v>3640</v>
      </c>
      <c r="AU49" s="107">
        <f t="shared" si="1"/>
        <v>13922.807017543895</v>
      </c>
      <c r="AV49" s="108">
        <f t="shared" si="11"/>
        <v>4916.715789473682</v>
      </c>
      <c r="AW49" s="108">
        <f t="shared" si="12"/>
        <v>0</v>
      </c>
      <c r="AX49" s="108">
        <f t="shared" si="2"/>
        <v>0</v>
      </c>
      <c r="AY49" s="109">
        <f t="shared" si="3"/>
        <v>19479.096000000001</v>
      </c>
      <c r="AZ49" s="107">
        <f t="shared" si="14"/>
        <v>38318.618807017578</v>
      </c>
      <c r="BA49" s="108">
        <v>1000</v>
      </c>
      <c r="BB49" s="108" t="e">
        <f>AZ49/#REF!</f>
        <v>#REF!</v>
      </c>
      <c r="BC49" s="98"/>
      <c r="BD49" s="101"/>
    </row>
    <row r="50" spans="1:56" ht="15" thickBot="1" x14ac:dyDescent="0.35">
      <c r="A50" s="143">
        <f>+A49+1</f>
        <v>46008</v>
      </c>
      <c r="B50" s="208">
        <f>DAY(Tabla2[[#This Row],[FECHA]])</f>
        <v>17</v>
      </c>
      <c r="C50" s="152" t="s">
        <v>28</v>
      </c>
      <c r="D50" s="144"/>
      <c r="E50" s="145"/>
      <c r="F50" s="146"/>
      <c r="G50" s="146"/>
      <c r="H50" s="145"/>
      <c r="I50" s="290">
        <f>Tabla2[[#This Row],[VOLUMEN ENVIADO A RO (m3)]]/Tabla2[[#This Row],[Q DE OPERACIÓN (m3/h)]]</f>
        <v>6.3793818181818178</v>
      </c>
      <c r="J50" s="273">
        <v>0</v>
      </c>
      <c r="K50" s="274">
        <v>26</v>
      </c>
      <c r="L50" s="275">
        <v>7</v>
      </c>
      <c r="M50" s="274">
        <v>0</v>
      </c>
      <c r="N50" s="275">
        <v>0</v>
      </c>
      <c r="O50" s="188">
        <v>0</v>
      </c>
      <c r="P50" s="199">
        <v>228.07017543859649</v>
      </c>
      <c r="Q50" s="182">
        <v>61.403508771929829</v>
      </c>
      <c r="R50" s="199">
        <v>0</v>
      </c>
      <c r="S50" s="199">
        <v>0</v>
      </c>
      <c r="T50" s="184">
        <v>0</v>
      </c>
      <c r="U50" s="185">
        <v>17.543859649122794</v>
      </c>
      <c r="V50" s="185">
        <v>0</v>
      </c>
      <c r="W50" s="185">
        <v>0</v>
      </c>
      <c r="X50" s="186">
        <v>0</v>
      </c>
      <c r="Y50" s="191">
        <v>1.18</v>
      </c>
      <c r="Z50" s="191">
        <v>1.28</v>
      </c>
      <c r="AA50" s="191">
        <v>1.2</v>
      </c>
      <c r="AB50" s="191">
        <v>1.53</v>
      </c>
      <c r="AC50" s="191">
        <v>1.2</v>
      </c>
      <c r="AD50" s="200">
        <v>0</v>
      </c>
      <c r="AE50" s="201">
        <v>22.456140350877178</v>
      </c>
      <c r="AF50" s="201">
        <v>0</v>
      </c>
      <c r="AG50" s="201">
        <v>0</v>
      </c>
      <c r="AH50" s="202">
        <v>0</v>
      </c>
      <c r="AI50" s="401">
        <v>350.86599999999999</v>
      </c>
      <c r="AJ50" s="310">
        <v>55</v>
      </c>
      <c r="AK50" s="128">
        <f t="shared" si="5"/>
        <v>0</v>
      </c>
      <c r="AL50" s="129">
        <f t="shared" si="6"/>
        <v>64.00204166512907</v>
      </c>
      <c r="AM50" s="129">
        <f t="shared" si="7"/>
        <v>0</v>
      </c>
      <c r="AN50" s="129">
        <f t="shared" si="8"/>
        <v>0</v>
      </c>
      <c r="AO50" s="130">
        <f t="shared" si="9"/>
        <v>0</v>
      </c>
      <c r="AP50" s="104">
        <f t="shared" si="15"/>
        <v>1550</v>
      </c>
      <c r="AQ50" s="105">
        <f t="shared" si="15"/>
        <v>19462</v>
      </c>
      <c r="AR50" s="105">
        <f t="shared" si="15"/>
        <v>36854</v>
      </c>
      <c r="AS50" s="105">
        <f t="shared" si="15"/>
        <v>1560</v>
      </c>
      <c r="AT50" s="106">
        <f t="shared" si="15"/>
        <v>3640</v>
      </c>
      <c r="AU50" s="104">
        <f t="shared" si="1"/>
        <v>27845.614035087699</v>
      </c>
      <c r="AV50" s="105">
        <f t="shared" si="11"/>
        <v>0</v>
      </c>
      <c r="AW50" s="105">
        <f t="shared" si="12"/>
        <v>0</v>
      </c>
      <c r="AX50" s="105">
        <f t="shared" si="2"/>
        <v>0</v>
      </c>
      <c r="AY50" s="106">
        <f t="shared" si="3"/>
        <v>31928.805999999997</v>
      </c>
      <c r="AZ50" s="104">
        <f t="shared" si="14"/>
        <v>59774.420035087693</v>
      </c>
      <c r="BA50" s="105">
        <v>1000</v>
      </c>
      <c r="BB50" s="105" t="e">
        <f>AZ50/#REF!</f>
        <v>#REF!</v>
      </c>
      <c r="BC50" s="99"/>
      <c r="BD50" s="100"/>
    </row>
    <row r="51" spans="1:56" ht="15" thickBot="1" x14ac:dyDescent="0.35">
      <c r="A51" s="147">
        <f>+A50</f>
        <v>46008</v>
      </c>
      <c r="B51" s="206">
        <f>DAY(Tabla2[[#This Row],[FECHA]])</f>
        <v>17</v>
      </c>
      <c r="C51" s="132" t="s">
        <v>29</v>
      </c>
      <c r="D51" s="133"/>
      <c r="E51" s="134"/>
      <c r="F51" s="135"/>
      <c r="G51" s="135"/>
      <c r="H51" s="134"/>
      <c r="I51" s="290">
        <f>Tabla2[[#This Row],[VOLUMEN ENVIADO A RO (m3)]]/Tabla2[[#This Row],[Q DE OPERACIÓN (m3/h)]]</f>
        <v>2.0434545454545456</v>
      </c>
      <c r="J51" s="276">
        <v>0</v>
      </c>
      <c r="K51" s="277">
        <v>24</v>
      </c>
      <c r="L51" s="278">
        <v>7</v>
      </c>
      <c r="M51" s="277">
        <v>0</v>
      </c>
      <c r="N51" s="278">
        <v>0</v>
      </c>
      <c r="O51" s="188">
        <v>0</v>
      </c>
      <c r="P51" s="189">
        <v>210.5263157894737</v>
      </c>
      <c r="Q51" s="189">
        <v>61.403508771929829</v>
      </c>
      <c r="R51" s="189">
        <v>0</v>
      </c>
      <c r="S51" s="189">
        <v>0</v>
      </c>
      <c r="T51" s="184">
        <v>0</v>
      </c>
      <c r="U51" s="185">
        <v>17.543859649122794</v>
      </c>
      <c r="V51" s="185">
        <v>17.543859649122808</v>
      </c>
      <c r="W51" s="185">
        <v>0</v>
      </c>
      <c r="X51" s="186">
        <v>0</v>
      </c>
      <c r="Y51" s="191">
        <v>1.18</v>
      </c>
      <c r="Z51" s="191">
        <v>1.28</v>
      </c>
      <c r="AA51" s="191">
        <v>1.2</v>
      </c>
      <c r="AB51" s="191">
        <v>1.53</v>
      </c>
      <c r="AC51" s="191">
        <v>1.2</v>
      </c>
      <c r="AD51" s="184">
        <v>0</v>
      </c>
      <c r="AE51" s="185">
        <v>22.456140350877178</v>
      </c>
      <c r="AF51" s="185">
        <v>21.05263157894737</v>
      </c>
      <c r="AG51" s="185">
        <v>0</v>
      </c>
      <c r="AH51" s="186">
        <v>0</v>
      </c>
      <c r="AI51" s="402">
        <v>112.39</v>
      </c>
      <c r="AJ51" s="310">
        <v>55</v>
      </c>
      <c r="AK51" s="128">
        <f t="shared" si="5"/>
        <v>0</v>
      </c>
      <c r="AL51" s="129">
        <f t="shared" si="6"/>
        <v>199.80550183181046</v>
      </c>
      <c r="AM51" s="129">
        <f t="shared" si="7"/>
        <v>187.31765796732245</v>
      </c>
      <c r="AN51" s="129">
        <f t="shared" si="8"/>
        <v>0</v>
      </c>
      <c r="AO51" s="130">
        <f t="shared" si="9"/>
        <v>0</v>
      </c>
      <c r="AP51" s="104">
        <f t="shared" ref="AP51:AT66" si="16">AP50</f>
        <v>1550</v>
      </c>
      <c r="AQ51" s="105">
        <f t="shared" si="16"/>
        <v>19462</v>
      </c>
      <c r="AR51" s="105">
        <f t="shared" si="16"/>
        <v>36854</v>
      </c>
      <c r="AS51" s="105">
        <f t="shared" si="16"/>
        <v>1560</v>
      </c>
      <c r="AT51" s="106">
        <f t="shared" si="16"/>
        <v>3640</v>
      </c>
      <c r="AU51" s="104">
        <f t="shared" si="1"/>
        <v>27845.614035087699</v>
      </c>
      <c r="AV51" s="105">
        <f t="shared" si="11"/>
        <v>4916.7157894736847</v>
      </c>
      <c r="AW51" s="105">
        <f t="shared" si="12"/>
        <v>0</v>
      </c>
      <c r="AX51" s="105">
        <f t="shared" si="2"/>
        <v>0</v>
      </c>
      <c r="AY51" s="106">
        <f t="shared" si="3"/>
        <v>10227.490000000002</v>
      </c>
      <c r="AZ51" s="104">
        <f t="shared" si="14"/>
        <v>42989.819824561389</v>
      </c>
      <c r="BA51" s="105">
        <v>1000</v>
      </c>
      <c r="BB51" s="105" t="e">
        <f>AZ51/#REF!</f>
        <v>#REF!</v>
      </c>
      <c r="BC51" s="99"/>
      <c r="BD51" s="100"/>
    </row>
    <row r="52" spans="1:56" ht="15" thickBot="1" x14ac:dyDescent="0.35">
      <c r="A52" s="148">
        <f>+A51</f>
        <v>46008</v>
      </c>
      <c r="B52" s="207">
        <f>DAY(Tabla2[[#This Row],[FECHA]])</f>
        <v>17</v>
      </c>
      <c r="C52" s="137" t="s">
        <v>30</v>
      </c>
      <c r="D52" s="138"/>
      <c r="E52" s="139"/>
      <c r="F52" s="140"/>
      <c r="G52" s="141"/>
      <c r="H52" s="142"/>
      <c r="I52" s="290">
        <f>Tabla2[[#This Row],[VOLUMEN ENVIADO A RO (m3)]]/Tabla2[[#This Row],[Q DE OPERACIÓN (m3/h)]]</f>
        <v>0</v>
      </c>
      <c r="J52" s="279">
        <v>0</v>
      </c>
      <c r="K52" s="280">
        <v>22</v>
      </c>
      <c r="L52" s="281">
        <v>5</v>
      </c>
      <c r="M52" s="280">
        <v>0</v>
      </c>
      <c r="N52" s="281">
        <v>0</v>
      </c>
      <c r="O52" s="188">
        <v>0</v>
      </c>
      <c r="P52" s="193">
        <v>192.98245614035091</v>
      </c>
      <c r="Q52" s="193">
        <v>43.859649122807021</v>
      </c>
      <c r="R52" s="193">
        <v>0</v>
      </c>
      <c r="S52" s="193">
        <v>0</v>
      </c>
      <c r="T52" s="184">
        <v>0</v>
      </c>
      <c r="U52" s="185">
        <v>0</v>
      </c>
      <c r="V52" s="185">
        <v>0</v>
      </c>
      <c r="W52" s="185">
        <v>0</v>
      </c>
      <c r="X52" s="186">
        <v>0</v>
      </c>
      <c r="Y52" s="191">
        <v>1.18</v>
      </c>
      <c r="Z52" s="191">
        <v>1.28</v>
      </c>
      <c r="AA52" s="191">
        <v>1.2</v>
      </c>
      <c r="AB52" s="191">
        <v>1.53</v>
      </c>
      <c r="AC52" s="191">
        <v>1.2</v>
      </c>
      <c r="AD52" s="195">
        <v>0</v>
      </c>
      <c r="AE52" s="196">
        <v>0</v>
      </c>
      <c r="AF52" s="196">
        <v>0</v>
      </c>
      <c r="AG52" s="196">
        <v>0</v>
      </c>
      <c r="AH52" s="197">
        <v>0</v>
      </c>
      <c r="AI52" s="403">
        <v>0</v>
      </c>
      <c r="AJ52" s="310">
        <v>55</v>
      </c>
      <c r="AK52" s="128" t="e">
        <f t="shared" si="5"/>
        <v>#DIV/0!</v>
      </c>
      <c r="AL52" s="129" t="e">
        <f t="shared" si="6"/>
        <v>#DIV/0!</v>
      </c>
      <c r="AM52" s="129" t="e">
        <f t="shared" si="7"/>
        <v>#DIV/0!</v>
      </c>
      <c r="AN52" s="129" t="e">
        <f t="shared" si="8"/>
        <v>#DIV/0!</v>
      </c>
      <c r="AO52" s="130" t="e">
        <f t="shared" si="9"/>
        <v>#DIV/0!</v>
      </c>
      <c r="AP52" s="104">
        <f t="shared" si="16"/>
        <v>1550</v>
      </c>
      <c r="AQ52" s="105">
        <f t="shared" si="16"/>
        <v>19462</v>
      </c>
      <c r="AR52" s="105">
        <f t="shared" si="16"/>
        <v>36854</v>
      </c>
      <c r="AS52" s="105">
        <f t="shared" si="16"/>
        <v>1560</v>
      </c>
      <c r="AT52" s="106">
        <f t="shared" si="16"/>
        <v>3640</v>
      </c>
      <c r="AU52" s="107">
        <f t="shared" si="1"/>
        <v>0</v>
      </c>
      <c r="AV52" s="108">
        <f t="shared" si="11"/>
        <v>0</v>
      </c>
      <c r="AW52" s="108">
        <f t="shared" si="12"/>
        <v>0</v>
      </c>
      <c r="AX52" s="108">
        <f t="shared" si="2"/>
        <v>0</v>
      </c>
      <c r="AY52" s="109">
        <f t="shared" si="3"/>
        <v>0</v>
      </c>
      <c r="AZ52" s="107">
        <f t="shared" si="14"/>
        <v>0</v>
      </c>
      <c r="BA52" s="108">
        <v>1000</v>
      </c>
      <c r="BB52" s="108" t="e">
        <f>AZ52/#REF!</f>
        <v>#REF!</v>
      </c>
      <c r="BC52" s="98"/>
      <c r="BD52" s="101"/>
    </row>
    <row r="53" spans="1:56" ht="15" thickBot="1" x14ac:dyDescent="0.35">
      <c r="A53" s="143">
        <f>+A52+1</f>
        <v>46009</v>
      </c>
      <c r="B53" s="208">
        <f>DAY(Tabla2[[#This Row],[FECHA]])</f>
        <v>18</v>
      </c>
      <c r="C53" s="152" t="s">
        <v>28</v>
      </c>
      <c r="D53" s="144"/>
      <c r="E53" s="145"/>
      <c r="F53" s="146"/>
      <c r="G53" s="146"/>
      <c r="H53" s="145"/>
      <c r="I53" s="290">
        <f>Tabla2[[#This Row],[VOLUMEN ENVIADO A RO (m3)]]/Tabla2[[#This Row],[Q DE OPERACIÓN (m3/h)]]</f>
        <v>0</v>
      </c>
      <c r="J53" s="273">
        <v>0</v>
      </c>
      <c r="K53" s="274">
        <v>22</v>
      </c>
      <c r="L53" s="275">
        <v>5</v>
      </c>
      <c r="M53" s="274">
        <v>0</v>
      </c>
      <c r="N53" s="275">
        <v>0</v>
      </c>
      <c r="O53" s="188">
        <v>0</v>
      </c>
      <c r="P53" s="199">
        <v>192.98245614035091</v>
      </c>
      <c r="Q53" s="182">
        <v>43.859649122807021</v>
      </c>
      <c r="R53" s="199">
        <v>0</v>
      </c>
      <c r="S53" s="199">
        <v>0</v>
      </c>
      <c r="T53" s="184">
        <v>0</v>
      </c>
      <c r="U53" s="185">
        <v>0</v>
      </c>
      <c r="V53" s="185">
        <v>0</v>
      </c>
      <c r="W53" s="185">
        <v>0</v>
      </c>
      <c r="X53" s="186">
        <v>0</v>
      </c>
      <c r="Y53" s="191">
        <v>1.18</v>
      </c>
      <c r="Z53" s="191">
        <v>1.28</v>
      </c>
      <c r="AA53" s="191">
        <v>1.2</v>
      </c>
      <c r="AB53" s="191">
        <v>1.53</v>
      </c>
      <c r="AC53" s="191">
        <v>1.2</v>
      </c>
      <c r="AD53" s="200">
        <v>0</v>
      </c>
      <c r="AE53" s="201">
        <v>0</v>
      </c>
      <c r="AF53" s="201">
        <v>0</v>
      </c>
      <c r="AG53" s="201">
        <v>0</v>
      </c>
      <c r="AH53" s="202">
        <v>0</v>
      </c>
      <c r="AI53" s="401">
        <v>0</v>
      </c>
      <c r="AJ53" s="310">
        <v>55</v>
      </c>
      <c r="AK53" s="128" t="e">
        <f t="shared" si="5"/>
        <v>#DIV/0!</v>
      </c>
      <c r="AL53" s="129" t="e">
        <f t="shared" si="6"/>
        <v>#DIV/0!</v>
      </c>
      <c r="AM53" s="129" t="e">
        <f t="shared" si="7"/>
        <v>#DIV/0!</v>
      </c>
      <c r="AN53" s="129" t="e">
        <f t="shared" si="8"/>
        <v>#DIV/0!</v>
      </c>
      <c r="AO53" s="130" t="e">
        <f t="shared" si="9"/>
        <v>#DIV/0!</v>
      </c>
      <c r="AP53" s="104">
        <f t="shared" si="16"/>
        <v>1550</v>
      </c>
      <c r="AQ53" s="105">
        <f t="shared" si="16"/>
        <v>19462</v>
      </c>
      <c r="AR53" s="105">
        <f t="shared" si="16"/>
        <v>36854</v>
      </c>
      <c r="AS53" s="105">
        <f t="shared" si="16"/>
        <v>1560</v>
      </c>
      <c r="AT53" s="106">
        <f t="shared" si="16"/>
        <v>3640</v>
      </c>
      <c r="AU53" s="104">
        <f t="shared" si="1"/>
        <v>0</v>
      </c>
      <c r="AV53" s="105">
        <f t="shared" si="11"/>
        <v>0</v>
      </c>
      <c r="AW53" s="105">
        <f t="shared" si="12"/>
        <v>0</v>
      </c>
      <c r="AX53" s="105">
        <f t="shared" si="2"/>
        <v>0</v>
      </c>
      <c r="AY53" s="106">
        <f t="shared" si="3"/>
        <v>0</v>
      </c>
      <c r="AZ53" s="104">
        <f t="shared" si="14"/>
        <v>0</v>
      </c>
      <c r="BA53" s="105">
        <v>1000</v>
      </c>
      <c r="BB53" s="105" t="e">
        <f>AZ53/#REF!</f>
        <v>#REF!</v>
      </c>
      <c r="BC53" s="99"/>
      <c r="BD53" s="100"/>
    </row>
    <row r="54" spans="1:56" ht="15" thickBot="1" x14ac:dyDescent="0.35">
      <c r="A54" s="147">
        <f>+A53</f>
        <v>46009</v>
      </c>
      <c r="B54" s="206">
        <f>DAY(Tabla2[[#This Row],[FECHA]])</f>
        <v>18</v>
      </c>
      <c r="C54" s="132" t="s">
        <v>29</v>
      </c>
      <c r="D54" s="133"/>
      <c r="E54" s="134"/>
      <c r="F54" s="135"/>
      <c r="G54" s="135"/>
      <c r="H54" s="134"/>
      <c r="I54" s="290">
        <f>Tabla2[[#This Row],[VOLUMEN ENVIADO A RO (m3)]]/Tabla2[[#This Row],[Q DE OPERACIÓN (m3/h)]]</f>
        <v>0</v>
      </c>
      <c r="J54" s="276">
        <v>0</v>
      </c>
      <c r="K54" s="277">
        <v>22</v>
      </c>
      <c r="L54" s="278">
        <v>5</v>
      </c>
      <c r="M54" s="277">
        <v>0</v>
      </c>
      <c r="N54" s="278">
        <v>0</v>
      </c>
      <c r="O54" s="188">
        <v>0</v>
      </c>
      <c r="P54" s="189">
        <v>192.98245614035091</v>
      </c>
      <c r="Q54" s="189">
        <v>43.859649122807021</v>
      </c>
      <c r="R54" s="189">
        <v>0</v>
      </c>
      <c r="S54" s="189">
        <v>0</v>
      </c>
      <c r="T54" s="184">
        <v>0</v>
      </c>
      <c r="U54" s="185">
        <v>0</v>
      </c>
      <c r="V54" s="185">
        <v>0</v>
      </c>
      <c r="W54" s="185">
        <v>0</v>
      </c>
      <c r="X54" s="186">
        <v>0</v>
      </c>
      <c r="Y54" s="191">
        <v>1.18</v>
      </c>
      <c r="Z54" s="191">
        <v>1.28</v>
      </c>
      <c r="AA54" s="191">
        <v>1.2</v>
      </c>
      <c r="AB54" s="191">
        <v>1.53</v>
      </c>
      <c r="AC54" s="191">
        <v>1.2</v>
      </c>
      <c r="AD54" s="184">
        <v>0</v>
      </c>
      <c r="AE54" s="185">
        <v>0</v>
      </c>
      <c r="AF54" s="185">
        <v>0</v>
      </c>
      <c r="AG54" s="185">
        <v>0</v>
      </c>
      <c r="AH54" s="186">
        <v>0</v>
      </c>
      <c r="AI54" s="402">
        <v>0</v>
      </c>
      <c r="AJ54" s="310">
        <v>55</v>
      </c>
      <c r="AK54" s="128" t="e">
        <f t="shared" si="5"/>
        <v>#DIV/0!</v>
      </c>
      <c r="AL54" s="129" t="e">
        <f t="shared" si="6"/>
        <v>#DIV/0!</v>
      </c>
      <c r="AM54" s="129" t="e">
        <f t="shared" si="7"/>
        <v>#DIV/0!</v>
      </c>
      <c r="AN54" s="129" t="e">
        <f t="shared" si="8"/>
        <v>#DIV/0!</v>
      </c>
      <c r="AO54" s="130" t="e">
        <f t="shared" si="9"/>
        <v>#DIV/0!</v>
      </c>
      <c r="AP54" s="104">
        <f t="shared" si="16"/>
        <v>1550</v>
      </c>
      <c r="AQ54" s="105">
        <f t="shared" si="16"/>
        <v>19462</v>
      </c>
      <c r="AR54" s="105">
        <f t="shared" si="16"/>
        <v>36854</v>
      </c>
      <c r="AS54" s="105">
        <f t="shared" si="16"/>
        <v>1560</v>
      </c>
      <c r="AT54" s="106">
        <f t="shared" si="16"/>
        <v>3640</v>
      </c>
      <c r="AU54" s="104">
        <f t="shared" si="1"/>
        <v>0</v>
      </c>
      <c r="AV54" s="105">
        <f t="shared" si="11"/>
        <v>0</v>
      </c>
      <c r="AW54" s="105">
        <f t="shared" si="12"/>
        <v>0</v>
      </c>
      <c r="AX54" s="105">
        <f t="shared" si="2"/>
        <v>0</v>
      </c>
      <c r="AY54" s="106">
        <f t="shared" si="3"/>
        <v>0</v>
      </c>
      <c r="AZ54" s="104">
        <f t="shared" si="14"/>
        <v>0</v>
      </c>
      <c r="BA54" s="105">
        <v>1000</v>
      </c>
      <c r="BB54" s="105" t="e">
        <f>AZ54/#REF!</f>
        <v>#REF!</v>
      </c>
      <c r="BC54" s="99"/>
      <c r="BD54" s="100"/>
    </row>
    <row r="55" spans="1:56" ht="15" thickBot="1" x14ac:dyDescent="0.35">
      <c r="A55" s="148">
        <f>+A54</f>
        <v>46009</v>
      </c>
      <c r="B55" s="207">
        <f>DAY(Tabla2[[#This Row],[FECHA]])</f>
        <v>18</v>
      </c>
      <c r="C55" s="137" t="s">
        <v>30</v>
      </c>
      <c r="D55" s="138"/>
      <c r="E55" s="139"/>
      <c r="F55" s="140"/>
      <c r="G55" s="141"/>
      <c r="H55" s="142"/>
      <c r="I55" s="290">
        <f>Tabla2[[#This Row],[VOLUMEN ENVIADO A RO (m3)]]/Tabla2[[#This Row],[Q DE OPERACIÓN (m3/h)]]</f>
        <v>0</v>
      </c>
      <c r="J55" s="279">
        <v>0</v>
      </c>
      <c r="K55" s="280">
        <v>22</v>
      </c>
      <c r="L55" s="281">
        <v>5</v>
      </c>
      <c r="M55" s="280">
        <v>0</v>
      </c>
      <c r="N55" s="281">
        <v>0</v>
      </c>
      <c r="O55" s="188">
        <v>0</v>
      </c>
      <c r="P55" s="193">
        <v>192.98245614035091</v>
      </c>
      <c r="Q55" s="193">
        <v>43.859649122807021</v>
      </c>
      <c r="R55" s="193">
        <v>0</v>
      </c>
      <c r="S55" s="193">
        <v>0</v>
      </c>
      <c r="T55" s="184">
        <v>0</v>
      </c>
      <c r="U55" s="185">
        <v>0</v>
      </c>
      <c r="V55" s="185">
        <v>17.543859649122808</v>
      </c>
      <c r="W55" s="185">
        <v>0</v>
      </c>
      <c r="X55" s="186">
        <v>0</v>
      </c>
      <c r="Y55" s="191">
        <v>1.18</v>
      </c>
      <c r="Z55" s="191">
        <v>1.28</v>
      </c>
      <c r="AA55" s="191">
        <v>1.2</v>
      </c>
      <c r="AB55" s="191">
        <v>1.53</v>
      </c>
      <c r="AC55" s="191">
        <v>1.2</v>
      </c>
      <c r="AD55" s="195">
        <v>0</v>
      </c>
      <c r="AE55" s="196">
        <v>0</v>
      </c>
      <c r="AF55" s="196">
        <v>21.05263157894737</v>
      </c>
      <c r="AG55" s="196">
        <v>0</v>
      </c>
      <c r="AH55" s="197">
        <v>0</v>
      </c>
      <c r="AI55" s="403">
        <v>0</v>
      </c>
      <c r="AJ55" s="310">
        <v>55</v>
      </c>
      <c r="AK55" s="128" t="e">
        <f t="shared" si="5"/>
        <v>#DIV/0!</v>
      </c>
      <c r="AL55" s="129" t="e">
        <f t="shared" si="6"/>
        <v>#DIV/0!</v>
      </c>
      <c r="AM55" s="129" t="e">
        <f t="shared" si="7"/>
        <v>#DIV/0!</v>
      </c>
      <c r="AN55" s="129" t="e">
        <f t="shared" si="8"/>
        <v>#DIV/0!</v>
      </c>
      <c r="AO55" s="130" t="e">
        <f t="shared" si="9"/>
        <v>#DIV/0!</v>
      </c>
      <c r="AP55" s="104">
        <f t="shared" si="16"/>
        <v>1550</v>
      </c>
      <c r="AQ55" s="105">
        <f t="shared" si="16"/>
        <v>19462</v>
      </c>
      <c r="AR55" s="105">
        <f t="shared" si="16"/>
        <v>36854</v>
      </c>
      <c r="AS55" s="105">
        <f t="shared" si="16"/>
        <v>1560</v>
      </c>
      <c r="AT55" s="106">
        <f t="shared" si="16"/>
        <v>3640</v>
      </c>
      <c r="AU55" s="107">
        <f t="shared" si="1"/>
        <v>0</v>
      </c>
      <c r="AV55" s="108">
        <f t="shared" si="11"/>
        <v>4916.7157894736847</v>
      </c>
      <c r="AW55" s="108">
        <f t="shared" si="12"/>
        <v>0</v>
      </c>
      <c r="AX55" s="108">
        <f t="shared" si="2"/>
        <v>0</v>
      </c>
      <c r="AY55" s="109">
        <f t="shared" si="3"/>
        <v>0</v>
      </c>
      <c r="AZ55" s="107">
        <f t="shared" si="14"/>
        <v>4916.7157894736847</v>
      </c>
      <c r="BA55" s="108">
        <v>1000</v>
      </c>
      <c r="BB55" s="108" t="e">
        <f>AZ55/#REF!</f>
        <v>#REF!</v>
      </c>
      <c r="BC55" s="98"/>
      <c r="BD55" s="101"/>
    </row>
    <row r="56" spans="1:56" ht="15" thickBot="1" x14ac:dyDescent="0.35">
      <c r="A56" s="143">
        <f>+A55+1</f>
        <v>46010</v>
      </c>
      <c r="B56" s="208">
        <f>DAY(Tabla2[[#This Row],[FECHA]])</f>
        <v>19</v>
      </c>
      <c r="C56" s="152" t="s">
        <v>28</v>
      </c>
      <c r="D56" s="144"/>
      <c r="E56" s="145"/>
      <c r="F56" s="146"/>
      <c r="G56" s="146"/>
      <c r="H56" s="145"/>
      <c r="I56" s="290">
        <f>Tabla2[[#This Row],[VOLUMEN ENVIADO A RO (m3)]]/Tabla2[[#This Row],[Q DE OPERACIÓN (m3/h)]]</f>
        <v>0</v>
      </c>
      <c r="J56" s="273">
        <v>0</v>
      </c>
      <c r="K56" s="274">
        <v>22</v>
      </c>
      <c r="L56" s="275">
        <v>3</v>
      </c>
      <c r="M56" s="274">
        <v>0</v>
      </c>
      <c r="N56" s="275">
        <v>0</v>
      </c>
      <c r="O56" s="188">
        <v>0</v>
      </c>
      <c r="P56" s="199">
        <v>192.98245614035091</v>
      </c>
      <c r="Q56" s="182">
        <v>26.315789473684212</v>
      </c>
      <c r="R56" s="199">
        <v>0</v>
      </c>
      <c r="S56" s="199">
        <v>0</v>
      </c>
      <c r="T56" s="184">
        <v>0</v>
      </c>
      <c r="U56" s="185">
        <v>0</v>
      </c>
      <c r="V56" s="185">
        <v>0</v>
      </c>
      <c r="W56" s="185">
        <v>0</v>
      </c>
      <c r="X56" s="186">
        <v>0</v>
      </c>
      <c r="Y56" s="191">
        <v>1.18</v>
      </c>
      <c r="Z56" s="191">
        <v>1.28</v>
      </c>
      <c r="AA56" s="191">
        <v>1.2</v>
      </c>
      <c r="AB56" s="191">
        <v>1.53</v>
      </c>
      <c r="AC56" s="191">
        <v>1.2</v>
      </c>
      <c r="AD56" s="200">
        <v>0</v>
      </c>
      <c r="AE56" s="201">
        <v>0</v>
      </c>
      <c r="AF56" s="201">
        <v>0</v>
      </c>
      <c r="AG56" s="201">
        <v>0</v>
      </c>
      <c r="AH56" s="202">
        <v>0</v>
      </c>
      <c r="AI56" s="401">
        <v>0</v>
      </c>
      <c r="AJ56" s="310">
        <v>55</v>
      </c>
      <c r="AK56" s="128" t="e">
        <f t="shared" si="5"/>
        <v>#DIV/0!</v>
      </c>
      <c r="AL56" s="129" t="e">
        <f t="shared" si="6"/>
        <v>#DIV/0!</v>
      </c>
      <c r="AM56" s="129" t="e">
        <f t="shared" si="7"/>
        <v>#DIV/0!</v>
      </c>
      <c r="AN56" s="129" t="e">
        <f t="shared" si="8"/>
        <v>#DIV/0!</v>
      </c>
      <c r="AO56" s="130" t="e">
        <f t="shared" si="9"/>
        <v>#DIV/0!</v>
      </c>
      <c r="AP56" s="104">
        <f t="shared" si="16"/>
        <v>1550</v>
      </c>
      <c r="AQ56" s="105">
        <f t="shared" si="16"/>
        <v>19462</v>
      </c>
      <c r="AR56" s="105">
        <f t="shared" si="16"/>
        <v>36854</v>
      </c>
      <c r="AS56" s="105">
        <f t="shared" si="16"/>
        <v>1560</v>
      </c>
      <c r="AT56" s="106">
        <f t="shared" si="16"/>
        <v>3640</v>
      </c>
      <c r="AU56" s="104">
        <f t="shared" si="1"/>
        <v>0</v>
      </c>
      <c r="AV56" s="105">
        <f t="shared" si="11"/>
        <v>0</v>
      </c>
      <c r="AW56" s="105">
        <f t="shared" si="12"/>
        <v>0</v>
      </c>
      <c r="AX56" s="105">
        <f t="shared" si="2"/>
        <v>0</v>
      </c>
      <c r="AY56" s="106">
        <f t="shared" si="3"/>
        <v>0</v>
      </c>
      <c r="AZ56" s="104">
        <f>AU56+AV56+AW56+AX56+AY56</f>
        <v>0</v>
      </c>
      <c r="BA56" s="105">
        <v>1000</v>
      </c>
      <c r="BB56" s="105" t="e">
        <f>AZ56/#REF!</f>
        <v>#REF!</v>
      </c>
      <c r="BC56" s="99"/>
      <c r="BD56" s="100"/>
    </row>
    <row r="57" spans="1:56" ht="15" thickBot="1" x14ac:dyDescent="0.35">
      <c r="A57" s="147">
        <f>+A56</f>
        <v>46010</v>
      </c>
      <c r="B57" s="206">
        <f>DAY(Tabla2[[#This Row],[FECHA]])</f>
        <v>19</v>
      </c>
      <c r="C57" s="132" t="s">
        <v>29</v>
      </c>
      <c r="D57" s="133"/>
      <c r="E57" s="134"/>
      <c r="F57" s="135"/>
      <c r="G57" s="135"/>
      <c r="H57" s="134"/>
      <c r="I57" s="290">
        <f>Tabla2[[#This Row],[VOLUMEN ENVIADO A RO (m3)]]/Tabla2[[#This Row],[Q DE OPERACIÓN (m3/h)]]</f>
        <v>4.6788181818181815</v>
      </c>
      <c r="J57" s="276">
        <v>0</v>
      </c>
      <c r="K57" s="277">
        <v>22</v>
      </c>
      <c r="L57" s="278">
        <v>3</v>
      </c>
      <c r="M57" s="277">
        <v>0</v>
      </c>
      <c r="N57" s="278">
        <v>0</v>
      </c>
      <c r="O57" s="188">
        <v>0</v>
      </c>
      <c r="P57" s="189">
        <v>192.98245614035091</v>
      </c>
      <c r="Q57" s="189">
        <v>26.315789473684212</v>
      </c>
      <c r="R57" s="189">
        <v>0</v>
      </c>
      <c r="S57" s="189">
        <v>0</v>
      </c>
      <c r="T57" s="184">
        <v>0</v>
      </c>
      <c r="U57" s="185">
        <v>0</v>
      </c>
      <c r="V57" s="185">
        <v>0</v>
      </c>
      <c r="W57" s="185">
        <v>0</v>
      </c>
      <c r="X57" s="186">
        <v>0</v>
      </c>
      <c r="Y57" s="191">
        <v>1.18</v>
      </c>
      <c r="Z57" s="191">
        <v>1.28</v>
      </c>
      <c r="AA57" s="191">
        <v>1.2</v>
      </c>
      <c r="AB57" s="191">
        <v>1.53</v>
      </c>
      <c r="AC57" s="191">
        <v>1.2</v>
      </c>
      <c r="AD57" s="184">
        <v>0</v>
      </c>
      <c r="AE57" s="185">
        <v>0</v>
      </c>
      <c r="AF57" s="185">
        <v>0</v>
      </c>
      <c r="AG57" s="185">
        <v>0</v>
      </c>
      <c r="AH57" s="186">
        <v>0</v>
      </c>
      <c r="AI57" s="402">
        <v>257.33499999999998</v>
      </c>
      <c r="AJ57" s="310">
        <v>55</v>
      </c>
      <c r="AK57" s="128">
        <f t="shared" si="5"/>
        <v>0</v>
      </c>
      <c r="AL57" s="129">
        <f t="shared" si="6"/>
        <v>0</v>
      </c>
      <c r="AM57" s="129">
        <f t="shared" si="7"/>
        <v>0</v>
      </c>
      <c r="AN57" s="129">
        <f t="shared" si="8"/>
        <v>0</v>
      </c>
      <c r="AO57" s="130">
        <f t="shared" si="9"/>
        <v>0</v>
      </c>
      <c r="AP57" s="104">
        <f t="shared" si="16"/>
        <v>1550</v>
      </c>
      <c r="AQ57" s="105">
        <f t="shared" si="16"/>
        <v>19462</v>
      </c>
      <c r="AR57" s="105">
        <f t="shared" si="16"/>
        <v>36854</v>
      </c>
      <c r="AS57" s="105">
        <f t="shared" si="16"/>
        <v>1560</v>
      </c>
      <c r="AT57" s="106">
        <f t="shared" si="16"/>
        <v>3640</v>
      </c>
      <c r="AU57" s="104">
        <f t="shared" si="1"/>
        <v>0</v>
      </c>
      <c r="AV57" s="105">
        <f t="shared" si="11"/>
        <v>0</v>
      </c>
      <c r="AW57" s="105">
        <f t="shared" si="12"/>
        <v>0</v>
      </c>
      <c r="AX57" s="105">
        <f t="shared" si="2"/>
        <v>0</v>
      </c>
      <c r="AY57" s="106">
        <f t="shared" si="3"/>
        <v>23417.485000000001</v>
      </c>
      <c r="AZ57" s="104">
        <f t="shared" si="14"/>
        <v>23417.485000000001</v>
      </c>
      <c r="BA57" s="105">
        <v>1000</v>
      </c>
      <c r="BB57" s="105" t="e">
        <f>AZ57/#REF!</f>
        <v>#REF!</v>
      </c>
      <c r="BC57" s="99"/>
      <c r="BD57" s="100"/>
    </row>
    <row r="58" spans="1:56" ht="15" thickBot="1" x14ac:dyDescent="0.35">
      <c r="A58" s="148">
        <f>+A57</f>
        <v>46010</v>
      </c>
      <c r="B58" s="207">
        <f>DAY(Tabla2[[#This Row],[FECHA]])</f>
        <v>19</v>
      </c>
      <c r="C58" s="137" t="s">
        <v>30</v>
      </c>
      <c r="D58" s="138"/>
      <c r="E58" s="139"/>
      <c r="F58" s="140"/>
      <c r="G58" s="141"/>
      <c r="H58" s="142"/>
      <c r="I58" s="290">
        <f>Tabla2[[#This Row],[VOLUMEN ENVIADO A RO (m3)]]/Tabla2[[#This Row],[Q DE OPERACIÓN (m3/h)]]</f>
        <v>0</v>
      </c>
      <c r="J58" s="279">
        <v>0</v>
      </c>
      <c r="K58" s="280">
        <v>22</v>
      </c>
      <c r="L58" s="281">
        <v>3</v>
      </c>
      <c r="M58" s="280">
        <v>0</v>
      </c>
      <c r="N58" s="281">
        <v>0</v>
      </c>
      <c r="O58" s="188">
        <v>0</v>
      </c>
      <c r="P58" s="193">
        <v>192.98245614035091</v>
      </c>
      <c r="Q58" s="193">
        <v>26.315789473684212</v>
      </c>
      <c r="R58" s="193">
        <v>0</v>
      </c>
      <c r="S58" s="193">
        <v>0</v>
      </c>
      <c r="T58" s="184">
        <v>0</v>
      </c>
      <c r="U58" s="185">
        <v>0</v>
      </c>
      <c r="V58" s="185">
        <v>0</v>
      </c>
      <c r="W58" s="185">
        <v>0</v>
      </c>
      <c r="X58" s="186">
        <v>0</v>
      </c>
      <c r="Y58" s="191">
        <v>1.18</v>
      </c>
      <c r="Z58" s="191">
        <v>1.28</v>
      </c>
      <c r="AA58" s="191">
        <v>1.2</v>
      </c>
      <c r="AB58" s="191">
        <v>1.53</v>
      </c>
      <c r="AC58" s="191">
        <v>1.2</v>
      </c>
      <c r="AD58" s="195">
        <v>0</v>
      </c>
      <c r="AE58" s="196">
        <v>0</v>
      </c>
      <c r="AF58" s="196">
        <v>0</v>
      </c>
      <c r="AG58" s="196">
        <v>0</v>
      </c>
      <c r="AH58" s="197">
        <v>0</v>
      </c>
      <c r="AI58" s="403">
        <v>0</v>
      </c>
      <c r="AJ58" s="310">
        <v>55</v>
      </c>
      <c r="AK58" s="128" t="e">
        <f t="shared" si="5"/>
        <v>#DIV/0!</v>
      </c>
      <c r="AL58" s="129" t="e">
        <f t="shared" si="6"/>
        <v>#DIV/0!</v>
      </c>
      <c r="AM58" s="129" t="e">
        <f t="shared" si="7"/>
        <v>#DIV/0!</v>
      </c>
      <c r="AN58" s="129" t="e">
        <f t="shared" si="8"/>
        <v>#DIV/0!</v>
      </c>
      <c r="AO58" s="130" t="e">
        <f t="shared" si="9"/>
        <v>#DIV/0!</v>
      </c>
      <c r="AP58" s="104">
        <f t="shared" si="16"/>
        <v>1550</v>
      </c>
      <c r="AQ58" s="105">
        <f t="shared" si="16"/>
        <v>19462</v>
      </c>
      <c r="AR58" s="105">
        <f t="shared" si="16"/>
        <v>36854</v>
      </c>
      <c r="AS58" s="105">
        <f t="shared" si="16"/>
        <v>1560</v>
      </c>
      <c r="AT58" s="106">
        <f t="shared" si="16"/>
        <v>3640</v>
      </c>
      <c r="AU58" s="107">
        <f t="shared" si="1"/>
        <v>0</v>
      </c>
      <c r="AV58" s="108">
        <f t="shared" si="11"/>
        <v>0</v>
      </c>
      <c r="AW58" s="108">
        <f t="shared" si="12"/>
        <v>0</v>
      </c>
      <c r="AX58" s="108">
        <f t="shared" si="2"/>
        <v>0</v>
      </c>
      <c r="AY58" s="109">
        <f t="shared" si="3"/>
        <v>0</v>
      </c>
      <c r="AZ58" s="107">
        <f t="shared" si="14"/>
        <v>0</v>
      </c>
      <c r="BA58" s="108">
        <v>1000</v>
      </c>
      <c r="BB58" s="108" t="e">
        <f>AZ58/#REF!</f>
        <v>#REF!</v>
      </c>
      <c r="BC58" s="98"/>
      <c r="BD58" s="101"/>
    </row>
    <row r="59" spans="1:56" ht="15" thickBot="1" x14ac:dyDescent="0.35">
      <c r="A59" s="143">
        <f>+A58+1</f>
        <v>46011</v>
      </c>
      <c r="B59" s="208">
        <f>DAY(Tabla2[[#This Row],[FECHA]])</f>
        <v>20</v>
      </c>
      <c r="C59" s="152" t="s">
        <v>28</v>
      </c>
      <c r="D59" s="144"/>
      <c r="E59" s="145"/>
      <c r="F59" s="146"/>
      <c r="G59" s="146"/>
      <c r="H59" s="145"/>
      <c r="I59" s="290">
        <f>Tabla2[[#This Row],[VOLUMEN ENVIADO A RO (m3)]]/Tabla2[[#This Row],[Q DE OPERACIÓN (m3/h)]]</f>
        <v>2.760472727272727</v>
      </c>
      <c r="J59" s="273">
        <v>0</v>
      </c>
      <c r="K59" s="274">
        <v>22</v>
      </c>
      <c r="L59" s="275">
        <v>3</v>
      </c>
      <c r="M59" s="274">
        <v>0</v>
      </c>
      <c r="N59" s="275">
        <v>0</v>
      </c>
      <c r="O59" s="188">
        <v>0</v>
      </c>
      <c r="P59" s="199">
        <v>192.98245614035091</v>
      </c>
      <c r="Q59" s="182">
        <v>26.315789473684212</v>
      </c>
      <c r="R59" s="199">
        <v>0</v>
      </c>
      <c r="S59" s="199">
        <v>0</v>
      </c>
      <c r="T59" s="184">
        <v>0</v>
      </c>
      <c r="U59" s="185">
        <v>0</v>
      </c>
      <c r="V59" s="185">
        <v>0</v>
      </c>
      <c r="W59" s="185">
        <v>0</v>
      </c>
      <c r="X59" s="186">
        <v>0</v>
      </c>
      <c r="Y59" s="191">
        <v>1.18</v>
      </c>
      <c r="Z59" s="191">
        <v>1.28</v>
      </c>
      <c r="AA59" s="191">
        <v>1.2</v>
      </c>
      <c r="AB59" s="191">
        <v>1.53</v>
      </c>
      <c r="AC59" s="191">
        <v>1.2</v>
      </c>
      <c r="AD59" s="200">
        <v>0</v>
      </c>
      <c r="AE59" s="201">
        <v>0</v>
      </c>
      <c r="AF59" s="201">
        <v>0</v>
      </c>
      <c r="AG59" s="201">
        <v>0</v>
      </c>
      <c r="AH59" s="202">
        <v>0</v>
      </c>
      <c r="AI59" s="401">
        <v>151.82599999999999</v>
      </c>
      <c r="AJ59" s="310">
        <v>55</v>
      </c>
      <c r="AK59" s="128">
        <f t="shared" si="5"/>
        <v>0</v>
      </c>
      <c r="AL59" s="129">
        <f t="shared" si="6"/>
        <v>0</v>
      </c>
      <c r="AM59" s="129">
        <f t="shared" si="7"/>
        <v>0</v>
      </c>
      <c r="AN59" s="129">
        <f t="shared" si="8"/>
        <v>0</v>
      </c>
      <c r="AO59" s="130">
        <f t="shared" si="9"/>
        <v>0</v>
      </c>
      <c r="AP59" s="104">
        <f t="shared" si="16"/>
        <v>1550</v>
      </c>
      <c r="AQ59" s="105">
        <f t="shared" si="16"/>
        <v>19462</v>
      </c>
      <c r="AR59" s="105">
        <f t="shared" si="16"/>
        <v>36854</v>
      </c>
      <c r="AS59" s="105">
        <f t="shared" si="16"/>
        <v>1560</v>
      </c>
      <c r="AT59" s="106">
        <f t="shared" si="16"/>
        <v>3640</v>
      </c>
      <c r="AU59" s="104">
        <f t="shared" si="1"/>
        <v>0</v>
      </c>
      <c r="AV59" s="105">
        <f t="shared" si="11"/>
        <v>0</v>
      </c>
      <c r="AW59" s="105">
        <f t="shared" si="12"/>
        <v>0</v>
      </c>
      <c r="AX59" s="105">
        <f t="shared" si="2"/>
        <v>0</v>
      </c>
      <c r="AY59" s="106">
        <f t="shared" si="3"/>
        <v>13816.166000000001</v>
      </c>
      <c r="AZ59" s="104">
        <f t="shared" si="14"/>
        <v>13816.166000000001</v>
      </c>
      <c r="BA59" s="105">
        <v>1000</v>
      </c>
      <c r="BB59" s="105" t="e">
        <f>AZ59/#REF!</f>
        <v>#REF!</v>
      </c>
      <c r="BC59" s="99"/>
      <c r="BD59" s="100"/>
    </row>
    <row r="60" spans="1:56" ht="15" thickBot="1" x14ac:dyDescent="0.35">
      <c r="A60" s="147">
        <f>+A59</f>
        <v>46011</v>
      </c>
      <c r="B60" s="206">
        <f>DAY(Tabla2[[#This Row],[FECHA]])</f>
        <v>20</v>
      </c>
      <c r="C60" s="132" t="s">
        <v>29</v>
      </c>
      <c r="D60" s="133"/>
      <c r="E60" s="134"/>
      <c r="F60" s="135"/>
      <c r="G60" s="135"/>
      <c r="H60" s="134"/>
      <c r="I60" s="290">
        <f>Tabla2[[#This Row],[VOLUMEN ENVIADO A RO (m3)]]/Tabla2[[#This Row],[Q DE OPERACIÓN (m3/h)]]</f>
        <v>2.760472727272727</v>
      </c>
      <c r="J60" s="276">
        <v>0</v>
      </c>
      <c r="K60" s="277">
        <v>22</v>
      </c>
      <c r="L60" s="278">
        <v>3</v>
      </c>
      <c r="M60" s="277">
        <v>0</v>
      </c>
      <c r="N60" s="278">
        <v>0</v>
      </c>
      <c r="O60" s="188">
        <v>0</v>
      </c>
      <c r="P60" s="189">
        <v>192.98245614035091</v>
      </c>
      <c r="Q60" s="189">
        <v>26.315789473684212</v>
      </c>
      <c r="R60" s="189">
        <v>0</v>
      </c>
      <c r="S60" s="189">
        <v>0</v>
      </c>
      <c r="T60" s="184">
        <v>0</v>
      </c>
      <c r="U60" s="185">
        <v>0</v>
      </c>
      <c r="V60" s="185">
        <v>0</v>
      </c>
      <c r="W60" s="185">
        <v>0</v>
      </c>
      <c r="X60" s="186">
        <v>0</v>
      </c>
      <c r="Y60" s="191">
        <v>1.18</v>
      </c>
      <c r="Z60" s="191">
        <v>1.28</v>
      </c>
      <c r="AA60" s="191">
        <v>1.2</v>
      </c>
      <c r="AB60" s="191">
        <v>1.53</v>
      </c>
      <c r="AC60" s="191">
        <v>1.2</v>
      </c>
      <c r="AD60" s="184">
        <v>0</v>
      </c>
      <c r="AE60" s="185">
        <v>0</v>
      </c>
      <c r="AF60" s="185">
        <v>0</v>
      </c>
      <c r="AG60" s="185">
        <v>0</v>
      </c>
      <c r="AH60" s="186">
        <v>0</v>
      </c>
      <c r="AI60" s="402">
        <v>151.82599999999999</v>
      </c>
      <c r="AJ60" s="310">
        <v>55</v>
      </c>
      <c r="AK60" s="128">
        <f t="shared" si="5"/>
        <v>0</v>
      </c>
      <c r="AL60" s="129">
        <f t="shared" si="6"/>
        <v>0</v>
      </c>
      <c r="AM60" s="129">
        <f t="shared" si="7"/>
        <v>0</v>
      </c>
      <c r="AN60" s="129">
        <f t="shared" si="8"/>
        <v>0</v>
      </c>
      <c r="AO60" s="130">
        <f t="shared" si="9"/>
        <v>0</v>
      </c>
      <c r="AP60" s="104">
        <f t="shared" si="16"/>
        <v>1550</v>
      </c>
      <c r="AQ60" s="105">
        <f t="shared" si="16"/>
        <v>19462</v>
      </c>
      <c r="AR60" s="105">
        <f t="shared" si="16"/>
        <v>36854</v>
      </c>
      <c r="AS60" s="105">
        <f t="shared" si="16"/>
        <v>1560</v>
      </c>
      <c r="AT60" s="106">
        <f t="shared" si="16"/>
        <v>3640</v>
      </c>
      <c r="AU60" s="104">
        <f t="shared" si="1"/>
        <v>0</v>
      </c>
      <c r="AV60" s="105">
        <f t="shared" si="11"/>
        <v>0</v>
      </c>
      <c r="AW60" s="105">
        <f t="shared" si="12"/>
        <v>0</v>
      </c>
      <c r="AX60" s="105">
        <f t="shared" si="2"/>
        <v>0</v>
      </c>
      <c r="AY60" s="106">
        <f t="shared" si="3"/>
        <v>13816.166000000001</v>
      </c>
      <c r="AZ60" s="104">
        <f t="shared" si="14"/>
        <v>13816.166000000001</v>
      </c>
      <c r="BA60" s="105">
        <v>1000</v>
      </c>
      <c r="BB60" s="105" t="e">
        <f>AZ60/#REF!</f>
        <v>#REF!</v>
      </c>
      <c r="BC60" s="99"/>
      <c r="BD60" s="100"/>
    </row>
    <row r="61" spans="1:56" ht="15" thickBot="1" x14ac:dyDescent="0.35">
      <c r="A61" s="148">
        <f>+A60</f>
        <v>46011</v>
      </c>
      <c r="B61" s="207">
        <f>DAY(Tabla2[[#This Row],[FECHA]])</f>
        <v>20</v>
      </c>
      <c r="C61" s="137" t="s">
        <v>30</v>
      </c>
      <c r="D61" s="138"/>
      <c r="E61" s="139"/>
      <c r="F61" s="140"/>
      <c r="G61" s="141"/>
      <c r="H61" s="142"/>
      <c r="I61" s="290">
        <f>Tabla2[[#This Row],[VOLUMEN ENVIADO A RO (m3)]]/Tabla2[[#This Row],[Q DE OPERACIÓN (m3/h)]]</f>
        <v>5.3290545454545457</v>
      </c>
      <c r="J61" s="279">
        <v>0</v>
      </c>
      <c r="K61" s="280">
        <v>22</v>
      </c>
      <c r="L61" s="281">
        <v>3</v>
      </c>
      <c r="M61" s="280">
        <v>0</v>
      </c>
      <c r="N61" s="281">
        <v>0</v>
      </c>
      <c r="O61" s="188">
        <v>0</v>
      </c>
      <c r="P61" s="193">
        <v>192.98245614035091</v>
      </c>
      <c r="Q61" s="193">
        <v>26.315789473684212</v>
      </c>
      <c r="R61" s="193">
        <v>0</v>
      </c>
      <c r="S61" s="193">
        <v>0</v>
      </c>
      <c r="T61" s="184">
        <v>0</v>
      </c>
      <c r="U61" s="185">
        <v>0</v>
      </c>
      <c r="V61" s="185">
        <v>0</v>
      </c>
      <c r="W61" s="185">
        <v>0</v>
      </c>
      <c r="X61" s="186">
        <v>0</v>
      </c>
      <c r="Y61" s="191">
        <v>1.18</v>
      </c>
      <c r="Z61" s="191">
        <v>1.28</v>
      </c>
      <c r="AA61" s="191">
        <v>1.2</v>
      </c>
      <c r="AB61" s="191">
        <v>1.53</v>
      </c>
      <c r="AC61" s="191">
        <v>1.2</v>
      </c>
      <c r="AD61" s="195">
        <v>0</v>
      </c>
      <c r="AE61" s="196">
        <v>0</v>
      </c>
      <c r="AF61" s="196">
        <v>0</v>
      </c>
      <c r="AG61" s="196">
        <v>0</v>
      </c>
      <c r="AH61" s="197">
        <v>0</v>
      </c>
      <c r="AI61" s="403">
        <v>293.09800000000001</v>
      </c>
      <c r="AJ61" s="310">
        <v>55</v>
      </c>
      <c r="AK61" s="128">
        <f t="shared" si="5"/>
        <v>0</v>
      </c>
      <c r="AL61" s="129">
        <f t="shared" si="6"/>
        <v>0</v>
      </c>
      <c r="AM61" s="129">
        <f t="shared" si="7"/>
        <v>0</v>
      </c>
      <c r="AN61" s="129">
        <f t="shared" si="8"/>
        <v>0</v>
      </c>
      <c r="AO61" s="130">
        <f t="shared" si="9"/>
        <v>0</v>
      </c>
      <c r="AP61" s="104">
        <f t="shared" si="16"/>
        <v>1550</v>
      </c>
      <c r="AQ61" s="105">
        <f t="shared" si="16"/>
        <v>19462</v>
      </c>
      <c r="AR61" s="105">
        <f t="shared" si="16"/>
        <v>36854</v>
      </c>
      <c r="AS61" s="105">
        <f t="shared" si="16"/>
        <v>1560</v>
      </c>
      <c r="AT61" s="106">
        <f t="shared" si="16"/>
        <v>3640</v>
      </c>
      <c r="AU61" s="107">
        <f t="shared" si="1"/>
        <v>0</v>
      </c>
      <c r="AV61" s="108">
        <f t="shared" si="11"/>
        <v>0</v>
      </c>
      <c r="AW61" s="108">
        <f t="shared" si="12"/>
        <v>0</v>
      </c>
      <c r="AX61" s="108">
        <f t="shared" si="2"/>
        <v>0</v>
      </c>
      <c r="AY61" s="109">
        <f t="shared" si="3"/>
        <v>26671.918000000001</v>
      </c>
      <c r="AZ61" s="107">
        <f t="shared" si="14"/>
        <v>26671.918000000001</v>
      </c>
      <c r="BA61" s="108">
        <v>1000</v>
      </c>
      <c r="BB61" s="108" t="e">
        <f>AZ61/#REF!</f>
        <v>#REF!</v>
      </c>
      <c r="BC61" s="98"/>
      <c r="BD61" s="101"/>
    </row>
    <row r="62" spans="1:56" ht="15" thickBot="1" x14ac:dyDescent="0.35">
      <c r="A62" s="143">
        <f>+A61+1</f>
        <v>46012</v>
      </c>
      <c r="B62" s="208">
        <f>DAY(Tabla2[[#This Row],[FECHA]])</f>
        <v>21</v>
      </c>
      <c r="C62" s="152" t="s">
        <v>28</v>
      </c>
      <c r="D62" s="144"/>
      <c r="E62" s="145"/>
      <c r="F62" s="146"/>
      <c r="G62" s="146"/>
      <c r="H62" s="145"/>
      <c r="I62" s="290">
        <f>Tabla2[[#This Row],[VOLUMEN ENVIADO A RO (m3)]]/Tabla2[[#This Row],[Q DE OPERACIÓN (m3/h)]]</f>
        <v>8.3940181818181809</v>
      </c>
      <c r="J62" s="273">
        <v>0</v>
      </c>
      <c r="K62" s="274">
        <v>22</v>
      </c>
      <c r="L62" s="275">
        <v>3</v>
      </c>
      <c r="M62" s="274">
        <v>0</v>
      </c>
      <c r="N62" s="275">
        <v>0</v>
      </c>
      <c r="O62" s="188">
        <v>0</v>
      </c>
      <c r="P62" s="199">
        <v>192.98245614035091</v>
      </c>
      <c r="Q62" s="182">
        <v>26.315789473684212</v>
      </c>
      <c r="R62" s="199">
        <v>0</v>
      </c>
      <c r="S62" s="199">
        <v>0</v>
      </c>
      <c r="T62" s="184">
        <v>0</v>
      </c>
      <c r="U62" s="185">
        <v>26.31578947368422</v>
      </c>
      <c r="V62" s="185">
        <v>0</v>
      </c>
      <c r="W62" s="185">
        <v>0</v>
      </c>
      <c r="X62" s="186">
        <v>0</v>
      </c>
      <c r="Y62" s="191">
        <v>1.18</v>
      </c>
      <c r="Z62" s="191">
        <v>1.28</v>
      </c>
      <c r="AA62" s="191">
        <v>1.2</v>
      </c>
      <c r="AB62" s="191">
        <v>1.53</v>
      </c>
      <c r="AC62" s="191">
        <v>1.2</v>
      </c>
      <c r="AD62" s="200">
        <v>0</v>
      </c>
      <c r="AE62" s="201">
        <v>33.684210526315802</v>
      </c>
      <c r="AF62" s="201">
        <v>0</v>
      </c>
      <c r="AG62" s="201">
        <v>0</v>
      </c>
      <c r="AH62" s="202">
        <v>0</v>
      </c>
      <c r="AI62" s="401">
        <v>461.67099999999999</v>
      </c>
      <c r="AJ62" s="310">
        <v>55</v>
      </c>
      <c r="AK62" s="128">
        <f t="shared" si="5"/>
        <v>0</v>
      </c>
      <c r="AL62" s="129">
        <f t="shared" si="6"/>
        <v>72.961504028444068</v>
      </c>
      <c r="AM62" s="129">
        <f t="shared" si="7"/>
        <v>0</v>
      </c>
      <c r="AN62" s="129">
        <f t="shared" si="8"/>
        <v>0</v>
      </c>
      <c r="AO62" s="130">
        <f t="shared" si="9"/>
        <v>0</v>
      </c>
      <c r="AP62" s="104">
        <f t="shared" si="16"/>
        <v>1550</v>
      </c>
      <c r="AQ62" s="105">
        <f t="shared" si="16"/>
        <v>19462</v>
      </c>
      <c r="AR62" s="105">
        <f t="shared" si="16"/>
        <v>36854</v>
      </c>
      <c r="AS62" s="105">
        <f t="shared" si="16"/>
        <v>1560</v>
      </c>
      <c r="AT62" s="106">
        <f t="shared" si="16"/>
        <v>3640</v>
      </c>
      <c r="AU62" s="104">
        <f t="shared" si="1"/>
        <v>41768.421052631602</v>
      </c>
      <c r="AV62" s="105">
        <f t="shared" si="11"/>
        <v>0</v>
      </c>
      <c r="AW62" s="105">
        <f t="shared" si="12"/>
        <v>0</v>
      </c>
      <c r="AX62" s="105">
        <f t="shared" si="2"/>
        <v>0</v>
      </c>
      <c r="AY62" s="106">
        <f t="shared" si="3"/>
        <v>42012.061000000002</v>
      </c>
      <c r="AZ62" s="104">
        <f t="shared" si="14"/>
        <v>83780.482052631603</v>
      </c>
      <c r="BA62" s="105">
        <v>1000</v>
      </c>
      <c r="BB62" s="105">
        <f>AZ62/AI62</f>
        <v>181.47226499527068</v>
      </c>
      <c r="BC62" s="99"/>
      <c r="BD62" s="100"/>
    </row>
    <row r="63" spans="1:56" ht="15" thickBot="1" x14ac:dyDescent="0.35">
      <c r="A63" s="147">
        <f>+A62</f>
        <v>46012</v>
      </c>
      <c r="B63" s="206">
        <f>DAY(Tabla2[[#This Row],[FECHA]])</f>
        <v>21</v>
      </c>
      <c r="C63" s="132" t="s">
        <v>29</v>
      </c>
      <c r="D63" s="133"/>
      <c r="E63" s="134"/>
      <c r="F63" s="135"/>
      <c r="G63" s="135"/>
      <c r="H63" s="134"/>
      <c r="I63" s="290">
        <f>Tabla2[[#This Row],[VOLUMEN ENVIADO A RO (m3)]]/Tabla2[[#This Row],[Q DE OPERACIÓN (m3/h)]]</f>
        <v>4.9900181818181819</v>
      </c>
      <c r="J63" s="276">
        <v>0</v>
      </c>
      <c r="K63" s="277">
        <v>19</v>
      </c>
      <c r="L63" s="278">
        <v>3</v>
      </c>
      <c r="M63" s="277">
        <v>0</v>
      </c>
      <c r="N63" s="278">
        <v>0</v>
      </c>
      <c r="O63" s="188">
        <v>0</v>
      </c>
      <c r="P63" s="189">
        <v>166.66666666666669</v>
      </c>
      <c r="Q63" s="189">
        <v>26.315789473684212</v>
      </c>
      <c r="R63" s="189">
        <v>0</v>
      </c>
      <c r="S63" s="189">
        <v>0</v>
      </c>
      <c r="T63" s="184">
        <v>0</v>
      </c>
      <c r="U63" s="185">
        <v>0</v>
      </c>
      <c r="V63" s="185">
        <v>0</v>
      </c>
      <c r="W63" s="185">
        <v>0</v>
      </c>
      <c r="X63" s="186">
        <v>0</v>
      </c>
      <c r="Y63" s="191">
        <v>1.18</v>
      </c>
      <c r="Z63" s="191">
        <v>1.28</v>
      </c>
      <c r="AA63" s="191">
        <v>1.2</v>
      </c>
      <c r="AB63" s="191">
        <v>1.53</v>
      </c>
      <c r="AC63" s="191">
        <v>1.2</v>
      </c>
      <c r="AD63" s="184">
        <v>0</v>
      </c>
      <c r="AE63" s="185">
        <v>0</v>
      </c>
      <c r="AF63" s="185">
        <v>0</v>
      </c>
      <c r="AG63" s="185">
        <v>0</v>
      </c>
      <c r="AH63" s="186">
        <v>0</v>
      </c>
      <c r="AI63" s="402">
        <v>274.45100000000002</v>
      </c>
      <c r="AJ63" s="310">
        <v>55</v>
      </c>
      <c r="AK63" s="128">
        <f t="shared" si="5"/>
        <v>0</v>
      </c>
      <c r="AL63" s="129">
        <f t="shared" si="6"/>
        <v>0</v>
      </c>
      <c r="AM63" s="129">
        <f t="shared" si="7"/>
        <v>0</v>
      </c>
      <c r="AN63" s="129">
        <f t="shared" si="8"/>
        <v>0</v>
      </c>
      <c r="AO63" s="130">
        <f t="shared" si="9"/>
        <v>0</v>
      </c>
      <c r="AP63" s="104">
        <f t="shared" si="16"/>
        <v>1550</v>
      </c>
      <c r="AQ63" s="105">
        <f t="shared" si="16"/>
        <v>19462</v>
      </c>
      <c r="AR63" s="105">
        <f t="shared" si="16"/>
        <v>36854</v>
      </c>
      <c r="AS63" s="105">
        <f t="shared" si="16"/>
        <v>1560</v>
      </c>
      <c r="AT63" s="106">
        <f t="shared" si="16"/>
        <v>3640</v>
      </c>
      <c r="AU63" s="104">
        <f t="shared" si="1"/>
        <v>0</v>
      </c>
      <c r="AV63" s="105">
        <f t="shared" si="11"/>
        <v>0</v>
      </c>
      <c r="AW63" s="105">
        <f t="shared" si="12"/>
        <v>0</v>
      </c>
      <c r="AX63" s="105">
        <f t="shared" si="2"/>
        <v>0</v>
      </c>
      <c r="AY63" s="106">
        <f t="shared" si="3"/>
        <v>24975.041000000005</v>
      </c>
      <c r="AZ63" s="104">
        <f t="shared" si="14"/>
        <v>24975.041000000005</v>
      </c>
      <c r="BA63" s="105">
        <v>1000</v>
      </c>
      <c r="BB63" s="105" t="e">
        <f>AZ63/#REF!</f>
        <v>#REF!</v>
      </c>
      <c r="BC63" s="99"/>
      <c r="BD63" s="100"/>
    </row>
    <row r="64" spans="1:56" ht="15" thickBot="1" x14ac:dyDescent="0.35">
      <c r="A64" s="148">
        <f>+A63</f>
        <v>46012</v>
      </c>
      <c r="B64" s="207">
        <f>DAY(Tabla2[[#This Row],[FECHA]])</f>
        <v>21</v>
      </c>
      <c r="C64" s="137" t="s">
        <v>30</v>
      </c>
      <c r="D64" s="138"/>
      <c r="E64" s="139"/>
      <c r="F64" s="140"/>
      <c r="G64" s="141"/>
      <c r="H64" s="142"/>
      <c r="I64" s="290">
        <f>Tabla2[[#This Row],[VOLUMEN ENVIADO A RO (m3)]]/Tabla2[[#This Row],[Q DE OPERACIÓN (m3/h)]]</f>
        <v>3.1180545454545454</v>
      </c>
      <c r="J64" s="279">
        <v>0</v>
      </c>
      <c r="K64" s="280">
        <v>19</v>
      </c>
      <c r="L64" s="281">
        <v>3</v>
      </c>
      <c r="M64" s="280">
        <v>0</v>
      </c>
      <c r="N64" s="281">
        <v>0</v>
      </c>
      <c r="O64" s="188">
        <v>0</v>
      </c>
      <c r="P64" s="193">
        <v>166.66666666666669</v>
      </c>
      <c r="Q64" s="193">
        <v>26.315789473684212</v>
      </c>
      <c r="R64" s="193">
        <v>0</v>
      </c>
      <c r="S64" s="193">
        <v>0</v>
      </c>
      <c r="T64" s="184">
        <v>0</v>
      </c>
      <c r="U64" s="185">
        <v>0</v>
      </c>
      <c r="V64" s="185">
        <v>0</v>
      </c>
      <c r="W64" s="185">
        <v>0</v>
      </c>
      <c r="X64" s="186">
        <v>0</v>
      </c>
      <c r="Y64" s="191">
        <v>1.18</v>
      </c>
      <c r="Z64" s="191">
        <v>1.28</v>
      </c>
      <c r="AA64" s="191">
        <v>1.2</v>
      </c>
      <c r="AB64" s="191">
        <v>1.53</v>
      </c>
      <c r="AC64" s="191">
        <v>1.2</v>
      </c>
      <c r="AD64" s="195">
        <v>0</v>
      </c>
      <c r="AE64" s="196">
        <v>0</v>
      </c>
      <c r="AF64" s="196">
        <v>0</v>
      </c>
      <c r="AG64" s="196">
        <v>0</v>
      </c>
      <c r="AH64" s="197">
        <v>0</v>
      </c>
      <c r="AI64" s="403">
        <v>171.49299999999999</v>
      </c>
      <c r="AJ64" s="310">
        <v>55</v>
      </c>
      <c r="AK64" s="128">
        <f t="shared" si="5"/>
        <v>0</v>
      </c>
      <c r="AL64" s="129">
        <f t="shared" si="6"/>
        <v>0</v>
      </c>
      <c r="AM64" s="129">
        <f t="shared" si="7"/>
        <v>0</v>
      </c>
      <c r="AN64" s="129">
        <f t="shared" si="8"/>
        <v>0</v>
      </c>
      <c r="AO64" s="130">
        <f t="shared" si="9"/>
        <v>0</v>
      </c>
      <c r="AP64" s="104">
        <f t="shared" si="16"/>
        <v>1550</v>
      </c>
      <c r="AQ64" s="105">
        <f t="shared" si="16"/>
        <v>19462</v>
      </c>
      <c r="AR64" s="105">
        <f t="shared" si="16"/>
        <v>36854</v>
      </c>
      <c r="AS64" s="105">
        <f t="shared" si="16"/>
        <v>1560</v>
      </c>
      <c r="AT64" s="106">
        <f t="shared" si="16"/>
        <v>3640</v>
      </c>
      <c r="AU64" s="107">
        <f t="shared" si="1"/>
        <v>0</v>
      </c>
      <c r="AV64" s="108">
        <f t="shared" si="11"/>
        <v>0</v>
      </c>
      <c r="AW64" s="108">
        <f t="shared" si="12"/>
        <v>0</v>
      </c>
      <c r="AX64" s="108">
        <f t="shared" si="2"/>
        <v>0</v>
      </c>
      <c r="AY64" s="109">
        <f t="shared" si="3"/>
        <v>15605.862999999999</v>
      </c>
      <c r="AZ64" s="107">
        <f t="shared" si="14"/>
        <v>15605.862999999999</v>
      </c>
      <c r="BA64" s="108">
        <v>1000</v>
      </c>
      <c r="BB64" s="108">
        <f>AZ64/AI64</f>
        <v>91</v>
      </c>
      <c r="BC64" s="98"/>
      <c r="BD64" s="101"/>
    </row>
    <row r="65" spans="1:56" ht="15" thickBot="1" x14ac:dyDescent="0.35">
      <c r="A65" s="143">
        <f>+A64+1</f>
        <v>46013</v>
      </c>
      <c r="B65" s="208">
        <f>DAY(Tabla2[[#This Row],[FECHA]])</f>
        <v>22</v>
      </c>
      <c r="C65" s="152" t="s">
        <v>28</v>
      </c>
      <c r="D65" s="144"/>
      <c r="E65" s="145"/>
      <c r="F65" s="146"/>
      <c r="G65" s="146"/>
      <c r="H65" s="145"/>
      <c r="I65" s="290">
        <f>Tabla2[[#This Row],[VOLUMEN ENVIADO A RO (m3)]]/Tabla2[[#This Row],[Q DE OPERACIÓN (m3/h)]]</f>
        <v>4.574218181818182</v>
      </c>
      <c r="J65" s="273">
        <v>0</v>
      </c>
      <c r="K65" s="274">
        <v>19</v>
      </c>
      <c r="L65" s="275">
        <v>3</v>
      </c>
      <c r="M65" s="274">
        <v>0</v>
      </c>
      <c r="N65" s="275">
        <v>0</v>
      </c>
      <c r="O65" s="188">
        <v>0</v>
      </c>
      <c r="P65" s="199">
        <v>166.66666666666669</v>
      </c>
      <c r="Q65" s="182">
        <v>26.315789473684212</v>
      </c>
      <c r="R65" s="199">
        <v>0</v>
      </c>
      <c r="S65" s="199">
        <v>0</v>
      </c>
      <c r="T65" s="184">
        <v>0</v>
      </c>
      <c r="U65" s="185">
        <v>0</v>
      </c>
      <c r="V65" s="185">
        <v>0</v>
      </c>
      <c r="W65" s="185">
        <v>0</v>
      </c>
      <c r="X65" s="186">
        <v>0</v>
      </c>
      <c r="Y65" s="191">
        <v>1.18</v>
      </c>
      <c r="Z65" s="191">
        <v>1.28</v>
      </c>
      <c r="AA65" s="191">
        <v>1.2</v>
      </c>
      <c r="AB65" s="191">
        <v>1.53</v>
      </c>
      <c r="AC65" s="191">
        <v>1.2</v>
      </c>
      <c r="AD65" s="200">
        <v>0</v>
      </c>
      <c r="AE65" s="201">
        <v>0</v>
      </c>
      <c r="AF65" s="201">
        <v>0</v>
      </c>
      <c r="AG65" s="201">
        <v>0</v>
      </c>
      <c r="AH65" s="202">
        <v>0</v>
      </c>
      <c r="AI65" s="401">
        <v>251.58199999999999</v>
      </c>
      <c r="AJ65" s="310">
        <v>55</v>
      </c>
      <c r="AK65" s="128">
        <f t="shared" si="5"/>
        <v>0</v>
      </c>
      <c r="AL65" s="129">
        <f t="shared" si="6"/>
        <v>0</v>
      </c>
      <c r="AM65" s="129">
        <f t="shared" si="7"/>
        <v>0</v>
      </c>
      <c r="AN65" s="129">
        <f t="shared" si="8"/>
        <v>0</v>
      </c>
      <c r="AO65" s="130">
        <f t="shared" si="9"/>
        <v>0</v>
      </c>
      <c r="AP65" s="104">
        <f t="shared" si="16"/>
        <v>1550</v>
      </c>
      <c r="AQ65" s="105">
        <f t="shared" si="16"/>
        <v>19462</v>
      </c>
      <c r="AR65" s="105">
        <f t="shared" si="16"/>
        <v>36854</v>
      </c>
      <c r="AS65" s="105">
        <f t="shared" si="16"/>
        <v>1560</v>
      </c>
      <c r="AT65" s="106">
        <f t="shared" si="16"/>
        <v>3640</v>
      </c>
      <c r="AU65" s="104">
        <f t="shared" si="1"/>
        <v>0</v>
      </c>
      <c r="AV65" s="105">
        <f t="shared" si="11"/>
        <v>0</v>
      </c>
      <c r="AW65" s="105">
        <f t="shared" si="12"/>
        <v>0</v>
      </c>
      <c r="AX65" s="105">
        <f t="shared" si="2"/>
        <v>0</v>
      </c>
      <c r="AY65" s="106">
        <f t="shared" si="3"/>
        <v>22893.962</v>
      </c>
      <c r="AZ65" s="104">
        <f t="shared" si="14"/>
        <v>22893.962</v>
      </c>
      <c r="BA65" s="105">
        <v>1000</v>
      </c>
      <c r="BB65" s="105">
        <f>AZ65/AI65</f>
        <v>91</v>
      </c>
      <c r="BC65" s="99"/>
      <c r="BD65" s="100"/>
    </row>
    <row r="66" spans="1:56" ht="15" thickBot="1" x14ac:dyDescent="0.35">
      <c r="A66" s="147">
        <f>+A65</f>
        <v>46013</v>
      </c>
      <c r="B66" s="206">
        <f>DAY(Tabla2[[#This Row],[FECHA]])</f>
        <v>22</v>
      </c>
      <c r="C66" s="132" t="s">
        <v>29</v>
      </c>
      <c r="D66" s="133"/>
      <c r="E66" s="134"/>
      <c r="F66" s="135"/>
      <c r="G66" s="135"/>
      <c r="H66" s="134"/>
      <c r="I66" s="290">
        <f>Tabla2[[#This Row],[VOLUMEN ENVIADO A RO (m3)]]/Tabla2[[#This Row],[Q DE OPERACIÓN (m3/h)]]</f>
        <v>6.6203272727272724</v>
      </c>
      <c r="J66" s="276">
        <v>0</v>
      </c>
      <c r="K66" s="277">
        <v>19</v>
      </c>
      <c r="L66" s="278">
        <v>3</v>
      </c>
      <c r="M66" s="277">
        <v>0</v>
      </c>
      <c r="N66" s="278">
        <v>0</v>
      </c>
      <c r="O66" s="188">
        <v>0</v>
      </c>
      <c r="P66" s="189">
        <v>166.66666666666669</v>
      </c>
      <c r="Q66" s="189">
        <v>26.315789473684212</v>
      </c>
      <c r="R66" s="189">
        <v>0</v>
      </c>
      <c r="S66" s="189">
        <v>0</v>
      </c>
      <c r="T66" s="184">
        <v>0</v>
      </c>
      <c r="U66" s="185">
        <v>0</v>
      </c>
      <c r="V66" s="185">
        <v>0</v>
      </c>
      <c r="W66" s="185">
        <v>0</v>
      </c>
      <c r="X66" s="186">
        <v>0</v>
      </c>
      <c r="Y66" s="191">
        <v>1.18</v>
      </c>
      <c r="Z66" s="191">
        <v>1.28</v>
      </c>
      <c r="AA66" s="191">
        <v>1.2</v>
      </c>
      <c r="AB66" s="191">
        <v>1.53</v>
      </c>
      <c r="AC66" s="191">
        <v>1.2</v>
      </c>
      <c r="AD66" s="184">
        <v>0</v>
      </c>
      <c r="AE66" s="185">
        <v>0</v>
      </c>
      <c r="AF66" s="185">
        <v>0</v>
      </c>
      <c r="AG66" s="185">
        <v>0</v>
      </c>
      <c r="AH66" s="186">
        <v>0</v>
      </c>
      <c r="AI66" s="402">
        <v>364.11799999999999</v>
      </c>
      <c r="AJ66" s="310">
        <v>55</v>
      </c>
      <c r="AK66" s="128">
        <f t="shared" si="5"/>
        <v>0</v>
      </c>
      <c r="AL66" s="129">
        <f t="shared" si="6"/>
        <v>0</v>
      </c>
      <c r="AM66" s="129">
        <f t="shared" si="7"/>
        <v>0</v>
      </c>
      <c r="AN66" s="129">
        <f t="shared" si="8"/>
        <v>0</v>
      </c>
      <c r="AO66" s="130">
        <f t="shared" si="9"/>
        <v>0</v>
      </c>
      <c r="AP66" s="104">
        <f t="shared" si="16"/>
        <v>1550</v>
      </c>
      <c r="AQ66" s="105">
        <f t="shared" si="16"/>
        <v>19462</v>
      </c>
      <c r="AR66" s="105">
        <f t="shared" si="16"/>
        <v>36854</v>
      </c>
      <c r="AS66" s="105">
        <f t="shared" si="16"/>
        <v>1560</v>
      </c>
      <c r="AT66" s="106">
        <f t="shared" si="16"/>
        <v>3640</v>
      </c>
      <c r="AU66" s="104">
        <f t="shared" ref="AU66:AU95" si="17">AP66*(AE66*0.8)</f>
        <v>0</v>
      </c>
      <c r="AV66" s="105">
        <f t="shared" si="11"/>
        <v>0</v>
      </c>
      <c r="AW66" s="105">
        <f t="shared" si="12"/>
        <v>0</v>
      </c>
      <c r="AX66" s="105">
        <f t="shared" ref="AX66:AX95" si="18">AS66*AH66</f>
        <v>0</v>
      </c>
      <c r="AY66" s="106">
        <f t="shared" ref="AY66:AY95" si="19">AT66*(AI66*0.025)</f>
        <v>33134.737999999998</v>
      </c>
      <c r="AZ66" s="104">
        <f t="shared" ref="AZ66:AZ95" si="20">AU66+AV66+AW66+AX66+AY66</f>
        <v>33134.737999999998</v>
      </c>
      <c r="BA66" s="105">
        <v>1000</v>
      </c>
      <c r="BB66" s="105">
        <f>AZ66/AI66</f>
        <v>91</v>
      </c>
      <c r="BC66" s="99"/>
      <c r="BD66" s="100"/>
    </row>
    <row r="67" spans="1:56" ht="15" thickBot="1" x14ac:dyDescent="0.35">
      <c r="A67" s="148">
        <f>+A66</f>
        <v>46013</v>
      </c>
      <c r="B67" s="207">
        <f>DAY(Tabla2[[#This Row],[FECHA]])</f>
        <v>22</v>
      </c>
      <c r="C67" s="137" t="s">
        <v>30</v>
      </c>
      <c r="D67" s="138"/>
      <c r="E67" s="139"/>
      <c r="F67" s="140"/>
      <c r="G67" s="141"/>
      <c r="H67" s="142"/>
      <c r="I67" s="290">
        <f>Tabla2[[#This Row],[VOLUMEN ENVIADO A RO (m3)]]/Tabla2[[#This Row],[Q DE OPERACIÓN (m3/h)]]</f>
        <v>4.7865636363636366</v>
      </c>
      <c r="J67" s="279">
        <v>0</v>
      </c>
      <c r="K67" s="280">
        <v>19</v>
      </c>
      <c r="L67" s="281">
        <v>3</v>
      </c>
      <c r="M67" s="280">
        <v>0</v>
      </c>
      <c r="N67" s="281">
        <v>0</v>
      </c>
      <c r="O67" s="188">
        <v>0</v>
      </c>
      <c r="P67" s="193">
        <v>166.66666666666669</v>
      </c>
      <c r="Q67" s="193">
        <v>26.315789473684212</v>
      </c>
      <c r="R67" s="193">
        <v>0</v>
      </c>
      <c r="S67" s="193">
        <v>0</v>
      </c>
      <c r="T67" s="184">
        <v>0</v>
      </c>
      <c r="U67" s="185">
        <v>0</v>
      </c>
      <c r="V67" s="185">
        <v>0</v>
      </c>
      <c r="W67" s="185">
        <v>0</v>
      </c>
      <c r="X67" s="186">
        <v>0</v>
      </c>
      <c r="Y67" s="191">
        <v>1.18</v>
      </c>
      <c r="Z67" s="191">
        <v>1.28</v>
      </c>
      <c r="AA67" s="191">
        <v>1.2</v>
      </c>
      <c r="AB67" s="191">
        <v>1.53</v>
      </c>
      <c r="AC67" s="191">
        <v>1.2</v>
      </c>
      <c r="AD67" s="195">
        <v>0</v>
      </c>
      <c r="AE67" s="196">
        <v>0</v>
      </c>
      <c r="AF67" s="196">
        <v>0</v>
      </c>
      <c r="AG67" s="196">
        <v>0</v>
      </c>
      <c r="AH67" s="197">
        <v>0</v>
      </c>
      <c r="AI67" s="403">
        <v>263.26100000000002</v>
      </c>
      <c r="AJ67" s="310">
        <v>55</v>
      </c>
      <c r="AK67" s="128">
        <f t="shared" ref="AK67:AK95" si="21">(AD67*1000)/$AI67</f>
        <v>0</v>
      </c>
      <c r="AL67" s="129">
        <f t="shared" ref="AL67:AL95" si="22">(AE67*1000)/$AI67</f>
        <v>0</v>
      </c>
      <c r="AM67" s="129">
        <f t="shared" ref="AM67:AM95" si="23">(AF67*1000)/$AI67</f>
        <v>0</v>
      </c>
      <c r="AN67" s="129">
        <f t="shared" ref="AN67:AN95" si="24">(AG67*1000)/$AI67</f>
        <v>0</v>
      </c>
      <c r="AO67" s="130">
        <f t="shared" ref="AO67:AO95" si="25">(AH67*1000)/$AI67</f>
        <v>0</v>
      </c>
      <c r="AP67" s="104">
        <f t="shared" ref="AP67:AT82" si="26">AP66</f>
        <v>1550</v>
      </c>
      <c r="AQ67" s="105">
        <f t="shared" si="26"/>
        <v>19462</v>
      </c>
      <c r="AR67" s="105">
        <f t="shared" si="26"/>
        <v>36854</v>
      </c>
      <c r="AS67" s="105">
        <f t="shared" si="26"/>
        <v>1560</v>
      </c>
      <c r="AT67" s="106">
        <f t="shared" si="26"/>
        <v>3640</v>
      </c>
      <c r="AU67" s="107">
        <f t="shared" si="17"/>
        <v>0</v>
      </c>
      <c r="AV67" s="108">
        <f t="shared" ref="AV67:AV95" si="27">AQ67*(AF67*0.012)</f>
        <v>0</v>
      </c>
      <c r="AW67" s="108">
        <f t="shared" ref="AW67:AW95" si="28">AR67*(AG67*0.044)</f>
        <v>0</v>
      </c>
      <c r="AX67" s="108">
        <f t="shared" si="18"/>
        <v>0</v>
      </c>
      <c r="AY67" s="109">
        <f t="shared" si="19"/>
        <v>23956.751000000004</v>
      </c>
      <c r="AZ67" s="107">
        <f t="shared" si="20"/>
        <v>23956.751000000004</v>
      </c>
      <c r="BA67" s="108">
        <v>1000</v>
      </c>
      <c r="BB67" s="108">
        <f t="shared" ref="BB67:BB95" si="29">AZ67/AI67</f>
        <v>91</v>
      </c>
      <c r="BC67" s="98"/>
      <c r="BD67" s="101"/>
    </row>
    <row r="68" spans="1:56" ht="15" thickBot="1" x14ac:dyDescent="0.35">
      <c r="A68" s="143">
        <f>+A67+1</f>
        <v>46014</v>
      </c>
      <c r="B68" s="208">
        <f>DAY(Tabla2[[#This Row],[FECHA]])</f>
        <v>23</v>
      </c>
      <c r="C68" s="152" t="s">
        <v>28</v>
      </c>
      <c r="D68" s="144"/>
      <c r="E68" s="145"/>
      <c r="F68" s="146"/>
      <c r="G68" s="146"/>
      <c r="H68" s="145"/>
      <c r="I68" s="290">
        <f>Tabla2[[#This Row],[VOLUMEN ENVIADO A RO (m3)]]/Tabla2[[#This Row],[Q DE OPERACIÓN (m3/h)]]</f>
        <v>1.9996545454545454</v>
      </c>
      <c r="J68" s="273">
        <v>0</v>
      </c>
      <c r="K68" s="274">
        <v>19</v>
      </c>
      <c r="L68" s="275">
        <v>3</v>
      </c>
      <c r="M68" s="274">
        <v>0</v>
      </c>
      <c r="N68" s="275">
        <v>0</v>
      </c>
      <c r="O68" s="188">
        <v>0</v>
      </c>
      <c r="P68" s="199">
        <v>166.66666666666669</v>
      </c>
      <c r="Q68" s="182">
        <v>26.315789473684212</v>
      </c>
      <c r="R68" s="199">
        <v>0</v>
      </c>
      <c r="S68" s="199">
        <v>0</v>
      </c>
      <c r="T68" s="184">
        <v>0</v>
      </c>
      <c r="U68" s="185">
        <v>0</v>
      </c>
      <c r="V68" s="185">
        <v>0</v>
      </c>
      <c r="W68" s="185">
        <v>0</v>
      </c>
      <c r="X68" s="186">
        <v>0</v>
      </c>
      <c r="Y68" s="191">
        <v>1.18</v>
      </c>
      <c r="Z68" s="191">
        <v>1.28</v>
      </c>
      <c r="AA68" s="191">
        <v>1.2</v>
      </c>
      <c r="AB68" s="191">
        <v>1.53</v>
      </c>
      <c r="AC68" s="191">
        <v>1.2</v>
      </c>
      <c r="AD68" s="200">
        <v>0</v>
      </c>
      <c r="AE68" s="201">
        <v>0</v>
      </c>
      <c r="AF68" s="201">
        <v>0</v>
      </c>
      <c r="AG68" s="201">
        <v>0</v>
      </c>
      <c r="AH68" s="202">
        <v>0</v>
      </c>
      <c r="AI68" s="401">
        <v>109.98099999999999</v>
      </c>
      <c r="AJ68" s="310">
        <v>55</v>
      </c>
      <c r="AK68" s="128">
        <f t="shared" si="21"/>
        <v>0</v>
      </c>
      <c r="AL68" s="129">
        <f t="shared" si="22"/>
        <v>0</v>
      </c>
      <c r="AM68" s="129">
        <f t="shared" si="23"/>
        <v>0</v>
      </c>
      <c r="AN68" s="129">
        <f t="shared" si="24"/>
        <v>0</v>
      </c>
      <c r="AO68" s="130">
        <f t="shared" si="25"/>
        <v>0</v>
      </c>
      <c r="AP68" s="104">
        <f t="shared" si="26"/>
        <v>1550</v>
      </c>
      <c r="AQ68" s="105">
        <f t="shared" si="26"/>
        <v>19462</v>
      </c>
      <c r="AR68" s="105">
        <f t="shared" si="26"/>
        <v>36854</v>
      </c>
      <c r="AS68" s="105">
        <f t="shared" si="26"/>
        <v>1560</v>
      </c>
      <c r="AT68" s="106">
        <f t="shared" si="26"/>
        <v>3640</v>
      </c>
      <c r="AU68" s="104">
        <f t="shared" si="17"/>
        <v>0</v>
      </c>
      <c r="AV68" s="105">
        <f t="shared" si="27"/>
        <v>0</v>
      </c>
      <c r="AW68" s="105">
        <f t="shared" si="28"/>
        <v>0</v>
      </c>
      <c r="AX68" s="105">
        <f t="shared" si="18"/>
        <v>0</v>
      </c>
      <c r="AY68" s="106">
        <f t="shared" si="19"/>
        <v>10008.271000000001</v>
      </c>
      <c r="AZ68" s="104">
        <f t="shared" si="20"/>
        <v>10008.271000000001</v>
      </c>
      <c r="BA68" s="105">
        <v>1000</v>
      </c>
      <c r="BB68" s="105">
        <f t="shared" si="29"/>
        <v>91.000000000000014</v>
      </c>
      <c r="BC68" s="99"/>
      <c r="BD68" s="100"/>
    </row>
    <row r="69" spans="1:56" ht="15" thickBot="1" x14ac:dyDescent="0.35">
      <c r="A69" s="147">
        <f>+A68</f>
        <v>46014</v>
      </c>
      <c r="B69" s="206">
        <f>DAY(Tabla2[[#This Row],[FECHA]])</f>
        <v>23</v>
      </c>
      <c r="C69" s="132" t="s">
        <v>29</v>
      </c>
      <c r="D69" s="133"/>
      <c r="E69" s="134"/>
      <c r="F69" s="135"/>
      <c r="G69" s="135"/>
      <c r="H69" s="134"/>
      <c r="I69" s="290">
        <f>Tabla2[[#This Row],[VOLUMEN ENVIADO A RO (m3)]]/Tabla2[[#This Row],[Q DE OPERACIÓN (m3/h)]]</f>
        <v>1.1384727272727273</v>
      </c>
      <c r="J69" s="276">
        <v>0</v>
      </c>
      <c r="K69" s="277">
        <v>19</v>
      </c>
      <c r="L69" s="278">
        <v>3</v>
      </c>
      <c r="M69" s="277">
        <v>0</v>
      </c>
      <c r="N69" s="278">
        <v>0</v>
      </c>
      <c r="O69" s="188">
        <v>0</v>
      </c>
      <c r="P69" s="189">
        <v>166.66666666666669</v>
      </c>
      <c r="Q69" s="189">
        <v>26.315789473684212</v>
      </c>
      <c r="R69" s="189">
        <v>0</v>
      </c>
      <c r="S69" s="189">
        <v>0</v>
      </c>
      <c r="T69" s="184">
        <v>0</v>
      </c>
      <c r="U69" s="185">
        <v>0</v>
      </c>
      <c r="V69" s="185">
        <v>0</v>
      </c>
      <c r="W69" s="185">
        <v>0</v>
      </c>
      <c r="X69" s="186">
        <v>0</v>
      </c>
      <c r="Y69" s="191">
        <v>1.18</v>
      </c>
      <c r="Z69" s="191">
        <v>1.28</v>
      </c>
      <c r="AA69" s="191">
        <v>1.2</v>
      </c>
      <c r="AB69" s="191">
        <v>1.53</v>
      </c>
      <c r="AC69" s="191">
        <v>1.2</v>
      </c>
      <c r="AD69" s="184">
        <v>0</v>
      </c>
      <c r="AE69" s="185">
        <v>0</v>
      </c>
      <c r="AF69" s="185">
        <v>0</v>
      </c>
      <c r="AG69" s="185">
        <v>0</v>
      </c>
      <c r="AH69" s="186">
        <v>0</v>
      </c>
      <c r="AI69" s="402">
        <v>62.616</v>
      </c>
      <c r="AJ69" s="310">
        <v>55</v>
      </c>
      <c r="AK69" s="128">
        <f t="shared" si="21"/>
        <v>0</v>
      </c>
      <c r="AL69" s="129">
        <f t="shared" si="22"/>
        <v>0</v>
      </c>
      <c r="AM69" s="129">
        <f t="shared" si="23"/>
        <v>0</v>
      </c>
      <c r="AN69" s="129">
        <f t="shared" si="24"/>
        <v>0</v>
      </c>
      <c r="AO69" s="130">
        <f t="shared" si="25"/>
        <v>0</v>
      </c>
      <c r="AP69" s="104">
        <f t="shared" si="26"/>
        <v>1550</v>
      </c>
      <c r="AQ69" s="105">
        <f t="shared" si="26"/>
        <v>19462</v>
      </c>
      <c r="AR69" s="105">
        <f t="shared" si="26"/>
        <v>36854</v>
      </c>
      <c r="AS69" s="105">
        <f t="shared" si="26"/>
        <v>1560</v>
      </c>
      <c r="AT69" s="106">
        <f t="shared" si="26"/>
        <v>3640</v>
      </c>
      <c r="AU69" s="104">
        <f t="shared" si="17"/>
        <v>0</v>
      </c>
      <c r="AV69" s="105">
        <f t="shared" si="27"/>
        <v>0</v>
      </c>
      <c r="AW69" s="105">
        <f t="shared" si="28"/>
        <v>0</v>
      </c>
      <c r="AX69" s="105">
        <f t="shared" si="18"/>
        <v>0</v>
      </c>
      <c r="AY69" s="106">
        <f t="shared" si="19"/>
        <v>5698.0560000000005</v>
      </c>
      <c r="AZ69" s="104">
        <f t="shared" si="20"/>
        <v>5698.0560000000005</v>
      </c>
      <c r="BA69" s="105">
        <v>1000</v>
      </c>
      <c r="BB69" s="105">
        <f t="shared" si="29"/>
        <v>91.000000000000014</v>
      </c>
      <c r="BC69" s="99"/>
      <c r="BD69" s="100"/>
    </row>
    <row r="70" spans="1:56" ht="15" thickBot="1" x14ac:dyDescent="0.35">
      <c r="A70" s="148">
        <f>+A69</f>
        <v>46014</v>
      </c>
      <c r="B70" s="207">
        <f>DAY(Tabla2[[#This Row],[FECHA]])</f>
        <v>23</v>
      </c>
      <c r="C70" s="137" t="s">
        <v>30</v>
      </c>
      <c r="D70" s="138"/>
      <c r="E70" s="139"/>
      <c r="F70" s="140"/>
      <c r="G70" s="141"/>
      <c r="H70" s="142"/>
      <c r="I70" s="290">
        <f>Tabla2[[#This Row],[VOLUMEN ENVIADO A RO (m3)]]/Tabla2[[#This Row],[Q DE OPERACIÓN (m3/h)]]</f>
        <v>7.3388</v>
      </c>
      <c r="J70" s="279">
        <v>0</v>
      </c>
      <c r="K70" s="280">
        <v>19</v>
      </c>
      <c r="L70" s="281">
        <v>3</v>
      </c>
      <c r="M70" s="280">
        <v>0</v>
      </c>
      <c r="N70" s="281">
        <v>0</v>
      </c>
      <c r="O70" s="188">
        <v>0</v>
      </c>
      <c r="P70" s="193">
        <v>166.66666666666669</v>
      </c>
      <c r="Q70" s="193">
        <v>26.315789473684212</v>
      </c>
      <c r="R70" s="193">
        <v>0</v>
      </c>
      <c r="S70" s="193">
        <v>0</v>
      </c>
      <c r="T70" s="184">
        <v>0</v>
      </c>
      <c r="U70" s="185">
        <v>0</v>
      </c>
      <c r="V70" s="185">
        <v>0</v>
      </c>
      <c r="W70" s="185">
        <v>0</v>
      </c>
      <c r="X70" s="186">
        <v>0</v>
      </c>
      <c r="Y70" s="191">
        <v>1.18</v>
      </c>
      <c r="Z70" s="191">
        <v>1.28</v>
      </c>
      <c r="AA70" s="191">
        <v>1.2</v>
      </c>
      <c r="AB70" s="191">
        <v>1.53</v>
      </c>
      <c r="AC70" s="191">
        <v>1.2</v>
      </c>
      <c r="AD70" s="195">
        <v>0</v>
      </c>
      <c r="AE70" s="196">
        <v>0</v>
      </c>
      <c r="AF70" s="196">
        <v>0</v>
      </c>
      <c r="AG70" s="196">
        <v>0</v>
      </c>
      <c r="AH70" s="197">
        <v>0</v>
      </c>
      <c r="AI70" s="403">
        <v>403.63400000000001</v>
      </c>
      <c r="AJ70" s="310">
        <v>55</v>
      </c>
      <c r="AK70" s="128">
        <f t="shared" si="21"/>
        <v>0</v>
      </c>
      <c r="AL70" s="129">
        <f t="shared" si="22"/>
        <v>0</v>
      </c>
      <c r="AM70" s="129">
        <f t="shared" si="23"/>
        <v>0</v>
      </c>
      <c r="AN70" s="129">
        <f t="shared" si="24"/>
        <v>0</v>
      </c>
      <c r="AO70" s="130">
        <f t="shared" si="25"/>
        <v>0</v>
      </c>
      <c r="AP70" s="104">
        <f t="shared" si="26"/>
        <v>1550</v>
      </c>
      <c r="AQ70" s="105">
        <f t="shared" si="26"/>
        <v>19462</v>
      </c>
      <c r="AR70" s="105">
        <f t="shared" si="26"/>
        <v>36854</v>
      </c>
      <c r="AS70" s="105">
        <f t="shared" si="26"/>
        <v>1560</v>
      </c>
      <c r="AT70" s="106">
        <f t="shared" si="26"/>
        <v>3640</v>
      </c>
      <c r="AU70" s="107">
        <f t="shared" si="17"/>
        <v>0</v>
      </c>
      <c r="AV70" s="108">
        <f t="shared" si="27"/>
        <v>0</v>
      </c>
      <c r="AW70" s="108">
        <f t="shared" si="28"/>
        <v>0</v>
      </c>
      <c r="AX70" s="108">
        <f t="shared" si="18"/>
        <v>0</v>
      </c>
      <c r="AY70" s="109">
        <f t="shared" si="19"/>
        <v>36730.694000000003</v>
      </c>
      <c r="AZ70" s="107">
        <f t="shared" si="20"/>
        <v>36730.694000000003</v>
      </c>
      <c r="BA70" s="108">
        <v>1000</v>
      </c>
      <c r="BB70" s="108">
        <f t="shared" si="29"/>
        <v>91</v>
      </c>
      <c r="BC70" s="98"/>
      <c r="BD70" s="101"/>
    </row>
    <row r="71" spans="1:56" ht="15" thickBot="1" x14ac:dyDescent="0.35">
      <c r="A71" s="143">
        <f>+A70+1</f>
        <v>46015</v>
      </c>
      <c r="B71" s="208">
        <f>DAY(Tabla2[[#This Row],[FECHA]])</f>
        <v>24</v>
      </c>
      <c r="C71" s="152" t="s">
        <v>28</v>
      </c>
      <c r="D71" s="144"/>
      <c r="E71" s="145"/>
      <c r="F71" s="146"/>
      <c r="G71" s="146"/>
      <c r="H71" s="145"/>
      <c r="I71" s="290">
        <f>Tabla2[[#This Row],[VOLUMEN ENVIADO A RO (m3)]]/Tabla2[[#This Row],[Q DE OPERACIÓN (m3/h)]]</f>
        <v>0</v>
      </c>
      <c r="J71" s="273">
        <v>0</v>
      </c>
      <c r="K71" s="274">
        <v>19</v>
      </c>
      <c r="L71" s="275">
        <v>3</v>
      </c>
      <c r="M71" s="274">
        <v>0</v>
      </c>
      <c r="N71" s="275">
        <v>0</v>
      </c>
      <c r="O71" s="188">
        <v>0</v>
      </c>
      <c r="P71" s="199">
        <v>166.66666666666669</v>
      </c>
      <c r="Q71" s="182">
        <v>26.315789473684212</v>
      </c>
      <c r="R71" s="199">
        <v>0</v>
      </c>
      <c r="S71" s="199">
        <v>0</v>
      </c>
      <c r="T71" s="184">
        <v>0</v>
      </c>
      <c r="U71" s="185">
        <v>0</v>
      </c>
      <c r="V71" s="185">
        <v>0</v>
      </c>
      <c r="W71" s="185">
        <v>0</v>
      </c>
      <c r="X71" s="186">
        <v>0</v>
      </c>
      <c r="Y71" s="191">
        <v>1.18</v>
      </c>
      <c r="Z71" s="191">
        <v>1.28</v>
      </c>
      <c r="AA71" s="191">
        <v>1.2</v>
      </c>
      <c r="AB71" s="191">
        <v>1.53</v>
      </c>
      <c r="AC71" s="191">
        <v>1.2</v>
      </c>
      <c r="AD71" s="200">
        <v>0</v>
      </c>
      <c r="AE71" s="201">
        <v>0</v>
      </c>
      <c r="AF71" s="201">
        <v>0</v>
      </c>
      <c r="AG71" s="201">
        <v>0</v>
      </c>
      <c r="AH71" s="202">
        <v>0</v>
      </c>
      <c r="AI71" s="401">
        <v>0</v>
      </c>
      <c r="AJ71" s="310">
        <v>55</v>
      </c>
      <c r="AK71" s="128" t="e">
        <f t="shared" si="21"/>
        <v>#DIV/0!</v>
      </c>
      <c r="AL71" s="129" t="e">
        <f t="shared" si="22"/>
        <v>#DIV/0!</v>
      </c>
      <c r="AM71" s="129" t="e">
        <f t="shared" si="23"/>
        <v>#DIV/0!</v>
      </c>
      <c r="AN71" s="129" t="e">
        <f t="shared" si="24"/>
        <v>#DIV/0!</v>
      </c>
      <c r="AO71" s="130" t="e">
        <f t="shared" si="25"/>
        <v>#DIV/0!</v>
      </c>
      <c r="AP71" s="104">
        <f t="shared" si="26"/>
        <v>1550</v>
      </c>
      <c r="AQ71" s="105">
        <f t="shared" si="26"/>
        <v>19462</v>
      </c>
      <c r="AR71" s="105">
        <f t="shared" si="26"/>
        <v>36854</v>
      </c>
      <c r="AS71" s="105">
        <f t="shared" si="26"/>
        <v>1560</v>
      </c>
      <c r="AT71" s="106">
        <f t="shared" si="26"/>
        <v>3640</v>
      </c>
      <c r="AU71" s="104">
        <f t="shared" si="17"/>
        <v>0</v>
      </c>
      <c r="AV71" s="105">
        <f t="shared" si="27"/>
        <v>0</v>
      </c>
      <c r="AW71" s="105">
        <f t="shared" si="28"/>
        <v>0</v>
      </c>
      <c r="AX71" s="105">
        <f t="shared" si="18"/>
        <v>0</v>
      </c>
      <c r="AY71" s="106">
        <f t="shared" si="19"/>
        <v>0</v>
      </c>
      <c r="AZ71" s="104">
        <f t="shared" si="20"/>
        <v>0</v>
      </c>
      <c r="BA71" s="105">
        <v>1000</v>
      </c>
      <c r="BB71" s="105" t="e">
        <f t="shared" si="29"/>
        <v>#DIV/0!</v>
      </c>
      <c r="BC71" s="99"/>
      <c r="BD71" s="100"/>
    </row>
    <row r="72" spans="1:56" ht="15" thickBot="1" x14ac:dyDescent="0.35">
      <c r="A72" s="147">
        <f>+A71</f>
        <v>46015</v>
      </c>
      <c r="B72" s="206">
        <f>DAY(Tabla2[[#This Row],[FECHA]])</f>
        <v>24</v>
      </c>
      <c r="C72" s="132" t="s">
        <v>29</v>
      </c>
      <c r="D72" s="133"/>
      <c r="E72" s="134"/>
      <c r="F72" s="135"/>
      <c r="G72" s="135"/>
      <c r="H72" s="134"/>
      <c r="I72" s="290">
        <f>Tabla2[[#This Row],[VOLUMEN ENVIADO A RO (m3)]]/Tabla2[[#This Row],[Q DE OPERACIÓN (m3/h)]]</f>
        <v>0</v>
      </c>
      <c r="J72" s="276">
        <v>0</v>
      </c>
      <c r="K72" s="277">
        <v>19</v>
      </c>
      <c r="L72" s="278">
        <v>3</v>
      </c>
      <c r="M72" s="277">
        <v>0</v>
      </c>
      <c r="N72" s="278">
        <v>0</v>
      </c>
      <c r="O72" s="188">
        <v>0</v>
      </c>
      <c r="P72" s="189">
        <v>166.66666666666669</v>
      </c>
      <c r="Q72" s="189">
        <v>26.315789473684212</v>
      </c>
      <c r="R72" s="189">
        <v>0</v>
      </c>
      <c r="S72" s="189">
        <v>0</v>
      </c>
      <c r="T72" s="184">
        <v>0</v>
      </c>
      <c r="U72" s="185">
        <v>0</v>
      </c>
      <c r="V72" s="185">
        <v>0</v>
      </c>
      <c r="W72" s="185">
        <v>0</v>
      </c>
      <c r="X72" s="186">
        <v>0</v>
      </c>
      <c r="Y72" s="191">
        <v>1.18</v>
      </c>
      <c r="Z72" s="191">
        <v>1.28</v>
      </c>
      <c r="AA72" s="191">
        <v>1.2</v>
      </c>
      <c r="AB72" s="191">
        <v>1.53</v>
      </c>
      <c r="AC72" s="191">
        <v>1.2</v>
      </c>
      <c r="AD72" s="184">
        <v>0</v>
      </c>
      <c r="AE72" s="185">
        <v>0</v>
      </c>
      <c r="AF72" s="185">
        <v>0</v>
      </c>
      <c r="AG72" s="185">
        <v>0</v>
      </c>
      <c r="AH72" s="186">
        <v>0</v>
      </c>
      <c r="AI72" s="402">
        <v>0</v>
      </c>
      <c r="AJ72" s="310">
        <v>55</v>
      </c>
      <c r="AK72" s="128" t="e">
        <f t="shared" si="21"/>
        <v>#DIV/0!</v>
      </c>
      <c r="AL72" s="129" t="e">
        <f t="shared" si="22"/>
        <v>#DIV/0!</v>
      </c>
      <c r="AM72" s="129" t="e">
        <f t="shared" si="23"/>
        <v>#DIV/0!</v>
      </c>
      <c r="AN72" s="129" t="e">
        <f t="shared" si="24"/>
        <v>#DIV/0!</v>
      </c>
      <c r="AO72" s="130" t="e">
        <f t="shared" si="25"/>
        <v>#DIV/0!</v>
      </c>
      <c r="AP72" s="104">
        <f t="shared" si="26"/>
        <v>1550</v>
      </c>
      <c r="AQ72" s="105">
        <f t="shared" si="26"/>
        <v>19462</v>
      </c>
      <c r="AR72" s="105">
        <f t="shared" si="26"/>
        <v>36854</v>
      </c>
      <c r="AS72" s="105">
        <f t="shared" si="26"/>
        <v>1560</v>
      </c>
      <c r="AT72" s="106">
        <f t="shared" si="26"/>
        <v>3640</v>
      </c>
      <c r="AU72" s="104">
        <f t="shared" si="17"/>
        <v>0</v>
      </c>
      <c r="AV72" s="105">
        <f t="shared" si="27"/>
        <v>0</v>
      </c>
      <c r="AW72" s="105">
        <f t="shared" si="28"/>
        <v>0</v>
      </c>
      <c r="AX72" s="105">
        <f t="shared" si="18"/>
        <v>0</v>
      </c>
      <c r="AY72" s="106">
        <f t="shared" si="19"/>
        <v>0</v>
      </c>
      <c r="AZ72" s="104">
        <f t="shared" si="20"/>
        <v>0</v>
      </c>
      <c r="BA72" s="105">
        <v>1000</v>
      </c>
      <c r="BB72" s="105" t="e">
        <f t="shared" si="29"/>
        <v>#DIV/0!</v>
      </c>
      <c r="BC72" s="99"/>
      <c r="BD72" s="100"/>
    </row>
    <row r="73" spans="1:56" ht="15" thickBot="1" x14ac:dyDescent="0.35">
      <c r="A73" s="148">
        <f>+A72</f>
        <v>46015</v>
      </c>
      <c r="B73" s="207">
        <f>DAY(Tabla2[[#This Row],[FECHA]])</f>
        <v>24</v>
      </c>
      <c r="C73" s="137" t="s">
        <v>30</v>
      </c>
      <c r="D73" s="138"/>
      <c r="E73" s="139"/>
      <c r="F73" s="140"/>
      <c r="G73" s="141"/>
      <c r="H73" s="142"/>
      <c r="I73" s="290">
        <f>Tabla2[[#This Row],[VOLUMEN ENVIADO A RO (m3)]]/Tabla2[[#This Row],[Q DE OPERACIÓN (m3/h)]]</f>
        <v>0</v>
      </c>
      <c r="J73" s="279">
        <v>0</v>
      </c>
      <c r="K73" s="280">
        <v>19</v>
      </c>
      <c r="L73" s="281">
        <v>3</v>
      </c>
      <c r="M73" s="280">
        <v>0</v>
      </c>
      <c r="N73" s="281">
        <v>0</v>
      </c>
      <c r="O73" s="188">
        <v>0</v>
      </c>
      <c r="P73" s="193">
        <v>166.66666666666669</v>
      </c>
      <c r="Q73" s="193">
        <v>26.315789473684212</v>
      </c>
      <c r="R73" s="193">
        <v>0</v>
      </c>
      <c r="S73" s="193">
        <v>0</v>
      </c>
      <c r="T73" s="184">
        <v>0</v>
      </c>
      <c r="U73" s="185">
        <v>0</v>
      </c>
      <c r="V73" s="185">
        <v>0</v>
      </c>
      <c r="W73" s="185">
        <v>0</v>
      </c>
      <c r="X73" s="186">
        <v>0</v>
      </c>
      <c r="Y73" s="191">
        <v>1.18</v>
      </c>
      <c r="Z73" s="191">
        <v>1.28</v>
      </c>
      <c r="AA73" s="191">
        <v>1.2</v>
      </c>
      <c r="AB73" s="191">
        <v>1.53</v>
      </c>
      <c r="AC73" s="191">
        <v>1.2</v>
      </c>
      <c r="AD73" s="195">
        <v>0</v>
      </c>
      <c r="AE73" s="196">
        <v>0</v>
      </c>
      <c r="AF73" s="196">
        <v>0</v>
      </c>
      <c r="AG73" s="196">
        <v>0</v>
      </c>
      <c r="AH73" s="197">
        <v>0</v>
      </c>
      <c r="AI73" s="403">
        <v>0</v>
      </c>
      <c r="AJ73" s="310">
        <v>55</v>
      </c>
      <c r="AK73" s="128" t="e">
        <f t="shared" si="21"/>
        <v>#DIV/0!</v>
      </c>
      <c r="AL73" s="129" t="e">
        <f t="shared" si="22"/>
        <v>#DIV/0!</v>
      </c>
      <c r="AM73" s="129" t="e">
        <f t="shared" si="23"/>
        <v>#DIV/0!</v>
      </c>
      <c r="AN73" s="129" t="e">
        <f t="shared" si="24"/>
        <v>#DIV/0!</v>
      </c>
      <c r="AO73" s="130" t="e">
        <f t="shared" si="25"/>
        <v>#DIV/0!</v>
      </c>
      <c r="AP73" s="104">
        <f t="shared" si="26"/>
        <v>1550</v>
      </c>
      <c r="AQ73" s="105">
        <f t="shared" si="26"/>
        <v>19462</v>
      </c>
      <c r="AR73" s="105">
        <f t="shared" si="26"/>
        <v>36854</v>
      </c>
      <c r="AS73" s="105">
        <f t="shared" si="26"/>
        <v>1560</v>
      </c>
      <c r="AT73" s="106">
        <f t="shared" si="26"/>
        <v>3640</v>
      </c>
      <c r="AU73" s="107">
        <f t="shared" si="17"/>
        <v>0</v>
      </c>
      <c r="AV73" s="108">
        <f t="shared" si="27"/>
        <v>0</v>
      </c>
      <c r="AW73" s="108">
        <f t="shared" si="28"/>
        <v>0</v>
      </c>
      <c r="AX73" s="108">
        <f t="shared" si="18"/>
        <v>0</v>
      </c>
      <c r="AY73" s="109">
        <f t="shared" si="19"/>
        <v>0</v>
      </c>
      <c r="AZ73" s="107">
        <f>AU73+AV73+AW73+AX73+AY73</f>
        <v>0</v>
      </c>
      <c r="BA73" s="108">
        <v>1000</v>
      </c>
      <c r="BB73" s="108" t="e">
        <f>AZ73/AI73</f>
        <v>#DIV/0!</v>
      </c>
      <c r="BC73" s="98"/>
      <c r="BD73" s="101"/>
    </row>
    <row r="74" spans="1:56" ht="15" thickBot="1" x14ac:dyDescent="0.35">
      <c r="A74" s="143">
        <f>+A73+1</f>
        <v>46016</v>
      </c>
      <c r="B74" s="208">
        <f>DAY(Tabla2[[#This Row],[FECHA]])</f>
        <v>25</v>
      </c>
      <c r="C74" s="152" t="s">
        <v>28</v>
      </c>
      <c r="D74" s="144"/>
      <c r="E74" s="145"/>
      <c r="F74" s="146"/>
      <c r="G74" s="146"/>
      <c r="H74" s="145"/>
      <c r="I74" s="290">
        <f>Tabla2[[#This Row],[VOLUMEN ENVIADO A RO (m3)]]/Tabla2[[#This Row],[Q DE OPERACIÓN (m3/h)]]</f>
        <v>0</v>
      </c>
      <c r="J74" s="273">
        <v>0</v>
      </c>
      <c r="K74" s="274">
        <v>19</v>
      </c>
      <c r="L74" s="275">
        <v>3</v>
      </c>
      <c r="M74" s="274">
        <v>0</v>
      </c>
      <c r="N74" s="275">
        <v>0</v>
      </c>
      <c r="O74" s="188">
        <v>0</v>
      </c>
      <c r="P74" s="199">
        <v>166.66666666666669</v>
      </c>
      <c r="Q74" s="182">
        <v>26.315789473684212</v>
      </c>
      <c r="R74" s="199">
        <v>0</v>
      </c>
      <c r="S74" s="199">
        <v>0</v>
      </c>
      <c r="T74" s="184">
        <v>0</v>
      </c>
      <c r="U74" s="185">
        <v>0</v>
      </c>
      <c r="V74" s="185">
        <v>0</v>
      </c>
      <c r="W74" s="185">
        <v>0</v>
      </c>
      <c r="X74" s="186">
        <v>0</v>
      </c>
      <c r="Y74" s="191">
        <v>1.18</v>
      </c>
      <c r="Z74" s="191">
        <v>1.28</v>
      </c>
      <c r="AA74" s="191">
        <v>1.2</v>
      </c>
      <c r="AB74" s="191">
        <v>1.53</v>
      </c>
      <c r="AC74" s="191">
        <v>1.2</v>
      </c>
      <c r="AD74" s="200">
        <v>0</v>
      </c>
      <c r="AE74" s="201">
        <v>0</v>
      </c>
      <c r="AF74" s="201">
        <v>0</v>
      </c>
      <c r="AG74" s="201">
        <v>0</v>
      </c>
      <c r="AH74" s="202">
        <v>0</v>
      </c>
      <c r="AI74" s="401">
        <v>0</v>
      </c>
      <c r="AJ74" s="310">
        <v>55</v>
      </c>
      <c r="AK74" s="128" t="e">
        <f t="shared" si="21"/>
        <v>#DIV/0!</v>
      </c>
      <c r="AL74" s="129" t="e">
        <f t="shared" si="22"/>
        <v>#DIV/0!</v>
      </c>
      <c r="AM74" s="129" t="e">
        <f t="shared" si="23"/>
        <v>#DIV/0!</v>
      </c>
      <c r="AN74" s="129" t="e">
        <f t="shared" si="24"/>
        <v>#DIV/0!</v>
      </c>
      <c r="AO74" s="130" t="e">
        <f t="shared" si="25"/>
        <v>#DIV/0!</v>
      </c>
      <c r="AP74" s="104">
        <f t="shared" si="26"/>
        <v>1550</v>
      </c>
      <c r="AQ74" s="105">
        <f t="shared" si="26"/>
        <v>19462</v>
      </c>
      <c r="AR74" s="105">
        <f t="shared" si="26"/>
        <v>36854</v>
      </c>
      <c r="AS74" s="105">
        <f t="shared" si="26"/>
        <v>1560</v>
      </c>
      <c r="AT74" s="106">
        <f t="shared" si="26"/>
        <v>3640</v>
      </c>
      <c r="AU74" s="104">
        <f t="shared" si="17"/>
        <v>0</v>
      </c>
      <c r="AV74" s="105">
        <f t="shared" si="27"/>
        <v>0</v>
      </c>
      <c r="AW74" s="105">
        <f t="shared" si="28"/>
        <v>0</v>
      </c>
      <c r="AX74" s="105">
        <f t="shared" si="18"/>
        <v>0</v>
      </c>
      <c r="AY74" s="106">
        <f t="shared" si="19"/>
        <v>0</v>
      </c>
      <c r="AZ74" s="104">
        <f t="shared" si="20"/>
        <v>0</v>
      </c>
      <c r="BA74" s="105">
        <v>1000</v>
      </c>
      <c r="BB74" s="105" t="e">
        <f t="shared" si="29"/>
        <v>#DIV/0!</v>
      </c>
      <c r="BC74" s="99"/>
      <c r="BD74" s="100"/>
    </row>
    <row r="75" spans="1:56" ht="15" thickBot="1" x14ac:dyDescent="0.35">
      <c r="A75" s="147">
        <f>+A74</f>
        <v>46016</v>
      </c>
      <c r="B75" s="206">
        <f>DAY(Tabla2[[#This Row],[FECHA]])</f>
        <v>25</v>
      </c>
      <c r="C75" s="132" t="s">
        <v>29</v>
      </c>
      <c r="D75" s="133"/>
      <c r="E75" s="134"/>
      <c r="F75" s="135"/>
      <c r="G75" s="135"/>
      <c r="H75" s="134"/>
      <c r="I75" s="290">
        <f>Tabla2[[#This Row],[VOLUMEN ENVIADO A RO (m3)]]/Tabla2[[#This Row],[Q DE OPERACIÓN (m3/h)]]</f>
        <v>0</v>
      </c>
      <c r="J75" s="276">
        <v>0</v>
      </c>
      <c r="K75" s="277">
        <v>19</v>
      </c>
      <c r="L75" s="278">
        <v>3</v>
      </c>
      <c r="M75" s="277">
        <v>0</v>
      </c>
      <c r="N75" s="278">
        <v>0</v>
      </c>
      <c r="O75" s="188">
        <v>0</v>
      </c>
      <c r="P75" s="189">
        <v>166.66666666666669</v>
      </c>
      <c r="Q75" s="189">
        <v>26.315789473684212</v>
      </c>
      <c r="R75" s="189">
        <v>0</v>
      </c>
      <c r="S75" s="189">
        <v>0</v>
      </c>
      <c r="T75" s="184">
        <v>0</v>
      </c>
      <c r="U75" s="185">
        <v>0</v>
      </c>
      <c r="V75" s="185">
        <v>0</v>
      </c>
      <c r="W75" s="185">
        <v>0</v>
      </c>
      <c r="X75" s="186">
        <v>0</v>
      </c>
      <c r="Y75" s="191">
        <v>1.18</v>
      </c>
      <c r="Z75" s="191">
        <v>1.28</v>
      </c>
      <c r="AA75" s="191">
        <v>1.2</v>
      </c>
      <c r="AB75" s="191">
        <v>1.53</v>
      </c>
      <c r="AC75" s="191">
        <v>1.2</v>
      </c>
      <c r="AD75" s="184">
        <v>0</v>
      </c>
      <c r="AE75" s="185">
        <v>0</v>
      </c>
      <c r="AF75" s="185">
        <v>0</v>
      </c>
      <c r="AG75" s="185">
        <v>0</v>
      </c>
      <c r="AH75" s="186">
        <v>0</v>
      </c>
      <c r="AI75" s="402">
        <v>0</v>
      </c>
      <c r="AJ75" s="310">
        <v>55</v>
      </c>
      <c r="AK75" s="128" t="e">
        <f t="shared" si="21"/>
        <v>#DIV/0!</v>
      </c>
      <c r="AL75" s="129" t="e">
        <f t="shared" si="22"/>
        <v>#DIV/0!</v>
      </c>
      <c r="AM75" s="129" t="e">
        <f t="shared" si="23"/>
        <v>#DIV/0!</v>
      </c>
      <c r="AN75" s="129" t="e">
        <f t="shared" si="24"/>
        <v>#DIV/0!</v>
      </c>
      <c r="AO75" s="130" t="e">
        <f t="shared" si="25"/>
        <v>#DIV/0!</v>
      </c>
      <c r="AP75" s="104">
        <f t="shared" si="26"/>
        <v>1550</v>
      </c>
      <c r="AQ75" s="105">
        <f t="shared" si="26"/>
        <v>19462</v>
      </c>
      <c r="AR75" s="105">
        <f t="shared" si="26"/>
        <v>36854</v>
      </c>
      <c r="AS75" s="105">
        <f t="shared" si="26"/>
        <v>1560</v>
      </c>
      <c r="AT75" s="106">
        <f t="shared" si="26"/>
        <v>3640</v>
      </c>
      <c r="AU75" s="104">
        <f t="shared" si="17"/>
        <v>0</v>
      </c>
      <c r="AV75" s="105">
        <f t="shared" si="27"/>
        <v>0</v>
      </c>
      <c r="AW75" s="105">
        <f t="shared" si="28"/>
        <v>0</v>
      </c>
      <c r="AX75" s="105">
        <f t="shared" si="18"/>
        <v>0</v>
      </c>
      <c r="AY75" s="106">
        <f t="shared" si="19"/>
        <v>0</v>
      </c>
      <c r="AZ75" s="104">
        <f>AU75+AV75+AW75+AX75+AY75</f>
        <v>0</v>
      </c>
      <c r="BA75" s="105">
        <v>1000</v>
      </c>
      <c r="BB75" s="105" t="e">
        <f>AZ75/AI75</f>
        <v>#DIV/0!</v>
      </c>
      <c r="BC75" s="99"/>
      <c r="BD75" s="100"/>
    </row>
    <row r="76" spans="1:56" ht="15" thickBot="1" x14ac:dyDescent="0.35">
      <c r="A76" s="148">
        <f>+A75</f>
        <v>46016</v>
      </c>
      <c r="B76" s="207">
        <f>DAY(Tabla2[[#This Row],[FECHA]])</f>
        <v>25</v>
      </c>
      <c r="C76" s="137" t="s">
        <v>30</v>
      </c>
      <c r="D76" s="138"/>
      <c r="E76" s="139"/>
      <c r="F76" s="140"/>
      <c r="G76" s="141"/>
      <c r="H76" s="142"/>
      <c r="I76" s="290">
        <f>Tabla2[[#This Row],[VOLUMEN ENVIADO A RO (m3)]]/Tabla2[[#This Row],[Q DE OPERACIÓN (m3/h)]]</f>
        <v>0</v>
      </c>
      <c r="J76" s="279">
        <v>0</v>
      </c>
      <c r="K76" s="280">
        <v>19</v>
      </c>
      <c r="L76" s="281">
        <v>3</v>
      </c>
      <c r="M76" s="280">
        <v>0</v>
      </c>
      <c r="N76" s="281">
        <v>0</v>
      </c>
      <c r="O76" s="188">
        <v>0</v>
      </c>
      <c r="P76" s="193">
        <v>166.66666666666669</v>
      </c>
      <c r="Q76" s="193">
        <v>26.315789473684212</v>
      </c>
      <c r="R76" s="193">
        <v>0</v>
      </c>
      <c r="S76" s="193">
        <v>0</v>
      </c>
      <c r="T76" s="184">
        <v>0</v>
      </c>
      <c r="U76" s="185">
        <v>0</v>
      </c>
      <c r="V76" s="185">
        <v>0</v>
      </c>
      <c r="W76" s="185">
        <v>0</v>
      </c>
      <c r="X76" s="186">
        <v>0</v>
      </c>
      <c r="Y76" s="191">
        <v>1.18</v>
      </c>
      <c r="Z76" s="191">
        <v>1.28</v>
      </c>
      <c r="AA76" s="191">
        <v>1.2</v>
      </c>
      <c r="AB76" s="191">
        <v>1.53</v>
      </c>
      <c r="AC76" s="191">
        <v>1.2</v>
      </c>
      <c r="AD76" s="195">
        <v>0</v>
      </c>
      <c r="AE76" s="196">
        <v>0</v>
      </c>
      <c r="AF76" s="196">
        <v>0</v>
      </c>
      <c r="AG76" s="196">
        <v>0</v>
      </c>
      <c r="AH76" s="197">
        <v>0</v>
      </c>
      <c r="AI76" s="403">
        <v>0</v>
      </c>
      <c r="AJ76" s="310">
        <v>55</v>
      </c>
      <c r="AK76" s="128" t="e">
        <f t="shared" si="21"/>
        <v>#DIV/0!</v>
      </c>
      <c r="AL76" s="129" t="e">
        <f t="shared" si="22"/>
        <v>#DIV/0!</v>
      </c>
      <c r="AM76" s="129" t="e">
        <f t="shared" si="23"/>
        <v>#DIV/0!</v>
      </c>
      <c r="AN76" s="129" t="e">
        <f t="shared" si="24"/>
        <v>#DIV/0!</v>
      </c>
      <c r="AO76" s="130" t="e">
        <f t="shared" si="25"/>
        <v>#DIV/0!</v>
      </c>
      <c r="AP76" s="104">
        <f t="shared" si="26"/>
        <v>1550</v>
      </c>
      <c r="AQ76" s="105">
        <f t="shared" si="26"/>
        <v>19462</v>
      </c>
      <c r="AR76" s="105">
        <f t="shared" si="26"/>
        <v>36854</v>
      </c>
      <c r="AS76" s="105">
        <f t="shared" si="26"/>
        <v>1560</v>
      </c>
      <c r="AT76" s="106">
        <f t="shared" si="26"/>
        <v>3640</v>
      </c>
      <c r="AU76" s="107">
        <f t="shared" si="17"/>
        <v>0</v>
      </c>
      <c r="AV76" s="108">
        <f t="shared" si="27"/>
        <v>0</v>
      </c>
      <c r="AW76" s="108">
        <f t="shared" si="28"/>
        <v>0</v>
      </c>
      <c r="AX76" s="108">
        <f t="shared" si="18"/>
        <v>0</v>
      </c>
      <c r="AY76" s="109">
        <f t="shared" si="19"/>
        <v>0</v>
      </c>
      <c r="AZ76" s="107">
        <f t="shared" si="20"/>
        <v>0</v>
      </c>
      <c r="BA76" s="108">
        <v>1000</v>
      </c>
      <c r="BB76" s="108" t="e">
        <f t="shared" si="29"/>
        <v>#DIV/0!</v>
      </c>
      <c r="BC76" s="98"/>
      <c r="BD76" s="101"/>
    </row>
    <row r="77" spans="1:56" ht="15" thickBot="1" x14ac:dyDescent="0.35">
      <c r="A77" s="143">
        <f>+A76+1</f>
        <v>46017</v>
      </c>
      <c r="B77" s="208">
        <f>DAY(Tabla2[[#This Row],[FECHA]])</f>
        <v>26</v>
      </c>
      <c r="C77" s="152" t="s">
        <v>28</v>
      </c>
      <c r="D77" s="144"/>
      <c r="E77" s="145"/>
      <c r="F77" s="146"/>
      <c r="G77" s="146"/>
      <c r="H77" s="145"/>
      <c r="I77" s="290">
        <f>Tabla2[[#This Row],[VOLUMEN ENVIADO A RO (m3)]]/Tabla2[[#This Row],[Q DE OPERACIÓN (m3/h)]]</f>
        <v>0</v>
      </c>
      <c r="J77" s="273">
        <v>0</v>
      </c>
      <c r="K77" s="274">
        <v>19</v>
      </c>
      <c r="L77" s="275">
        <v>3</v>
      </c>
      <c r="M77" s="274">
        <v>0</v>
      </c>
      <c r="N77" s="275">
        <v>0</v>
      </c>
      <c r="O77" s="188">
        <v>0</v>
      </c>
      <c r="P77" s="199">
        <v>166.66666666666669</v>
      </c>
      <c r="Q77" s="182">
        <v>26.315789473684212</v>
      </c>
      <c r="R77" s="199">
        <v>0</v>
      </c>
      <c r="S77" s="199">
        <v>0</v>
      </c>
      <c r="T77" s="184">
        <v>0</v>
      </c>
      <c r="U77" s="185">
        <v>0</v>
      </c>
      <c r="V77" s="185">
        <v>0</v>
      </c>
      <c r="W77" s="185">
        <v>0</v>
      </c>
      <c r="X77" s="186">
        <v>0</v>
      </c>
      <c r="Y77" s="191">
        <v>1.18</v>
      </c>
      <c r="Z77" s="191">
        <v>1.28</v>
      </c>
      <c r="AA77" s="191">
        <v>1.2</v>
      </c>
      <c r="AB77" s="191">
        <v>1.53</v>
      </c>
      <c r="AC77" s="191">
        <v>1.2</v>
      </c>
      <c r="AD77" s="200">
        <v>0</v>
      </c>
      <c r="AE77" s="201">
        <v>0</v>
      </c>
      <c r="AF77" s="201">
        <v>0</v>
      </c>
      <c r="AG77" s="201">
        <v>0</v>
      </c>
      <c r="AH77" s="202">
        <v>0</v>
      </c>
      <c r="AI77" s="401">
        <v>0</v>
      </c>
      <c r="AJ77" s="310">
        <v>70</v>
      </c>
      <c r="AK77" s="128" t="e">
        <f t="shared" si="21"/>
        <v>#DIV/0!</v>
      </c>
      <c r="AL77" s="129" t="e">
        <f t="shared" si="22"/>
        <v>#DIV/0!</v>
      </c>
      <c r="AM77" s="129" t="e">
        <f t="shared" si="23"/>
        <v>#DIV/0!</v>
      </c>
      <c r="AN77" s="129" t="e">
        <f t="shared" si="24"/>
        <v>#DIV/0!</v>
      </c>
      <c r="AO77" s="130" t="e">
        <f t="shared" si="25"/>
        <v>#DIV/0!</v>
      </c>
      <c r="AP77" s="104">
        <f t="shared" si="26"/>
        <v>1550</v>
      </c>
      <c r="AQ77" s="105">
        <f t="shared" si="26"/>
        <v>19462</v>
      </c>
      <c r="AR77" s="105">
        <f t="shared" si="26"/>
        <v>36854</v>
      </c>
      <c r="AS77" s="105">
        <f t="shared" si="26"/>
        <v>1560</v>
      </c>
      <c r="AT77" s="106">
        <f t="shared" si="26"/>
        <v>3640</v>
      </c>
      <c r="AU77" s="104">
        <f t="shared" si="17"/>
        <v>0</v>
      </c>
      <c r="AV77" s="105">
        <f t="shared" si="27"/>
        <v>0</v>
      </c>
      <c r="AW77" s="105">
        <f t="shared" si="28"/>
        <v>0</v>
      </c>
      <c r="AX77" s="105">
        <f t="shared" si="18"/>
        <v>0</v>
      </c>
      <c r="AY77" s="106">
        <f t="shared" si="19"/>
        <v>0</v>
      </c>
      <c r="AZ77" s="104">
        <f t="shared" si="20"/>
        <v>0</v>
      </c>
      <c r="BA77" s="105">
        <v>1000</v>
      </c>
      <c r="BB77" s="105" t="e">
        <f t="shared" si="29"/>
        <v>#DIV/0!</v>
      </c>
      <c r="BC77" s="99"/>
      <c r="BD77" s="100"/>
    </row>
    <row r="78" spans="1:56" ht="15" thickBot="1" x14ac:dyDescent="0.35">
      <c r="A78" s="147">
        <f>+A77</f>
        <v>46017</v>
      </c>
      <c r="B78" s="206">
        <f>DAY(Tabla2[[#This Row],[FECHA]])</f>
        <v>26</v>
      </c>
      <c r="C78" s="132" t="s">
        <v>29</v>
      </c>
      <c r="D78" s="133"/>
      <c r="E78" s="134"/>
      <c r="F78" s="135"/>
      <c r="G78" s="135"/>
      <c r="H78" s="134"/>
      <c r="I78" s="290">
        <f>Tabla2[[#This Row],[VOLUMEN ENVIADO A RO (m3)]]/Tabla2[[#This Row],[Q DE OPERACIÓN (m3/h)]]</f>
        <v>5.2004571428571422</v>
      </c>
      <c r="J78" s="276">
        <v>0</v>
      </c>
      <c r="K78" s="277">
        <v>19</v>
      </c>
      <c r="L78" s="278">
        <v>3</v>
      </c>
      <c r="M78" s="277">
        <v>0</v>
      </c>
      <c r="N78" s="278">
        <v>0</v>
      </c>
      <c r="O78" s="188">
        <v>0</v>
      </c>
      <c r="P78" s="189">
        <v>166.66666666666669</v>
      </c>
      <c r="Q78" s="189">
        <v>26.315789473684212</v>
      </c>
      <c r="R78" s="189">
        <v>0</v>
      </c>
      <c r="S78" s="189">
        <v>0</v>
      </c>
      <c r="T78" s="184">
        <v>0</v>
      </c>
      <c r="U78" s="185">
        <v>0</v>
      </c>
      <c r="V78" s="185">
        <v>0</v>
      </c>
      <c r="W78" s="185">
        <v>0</v>
      </c>
      <c r="X78" s="186">
        <v>0</v>
      </c>
      <c r="Y78" s="191">
        <v>1.18</v>
      </c>
      <c r="Z78" s="191">
        <v>1.28</v>
      </c>
      <c r="AA78" s="191">
        <v>1.2</v>
      </c>
      <c r="AB78" s="191">
        <v>1.53</v>
      </c>
      <c r="AC78" s="191">
        <v>1.2</v>
      </c>
      <c r="AD78" s="184">
        <v>0</v>
      </c>
      <c r="AE78" s="185">
        <v>0</v>
      </c>
      <c r="AF78" s="185">
        <v>0</v>
      </c>
      <c r="AG78" s="185">
        <v>0</v>
      </c>
      <c r="AH78" s="186">
        <v>0</v>
      </c>
      <c r="AI78" s="402">
        <v>364.03199999999998</v>
      </c>
      <c r="AJ78" s="310">
        <v>70</v>
      </c>
      <c r="AK78" s="128">
        <f t="shared" si="21"/>
        <v>0</v>
      </c>
      <c r="AL78" s="129">
        <f t="shared" si="22"/>
        <v>0</v>
      </c>
      <c r="AM78" s="129">
        <f t="shared" si="23"/>
        <v>0</v>
      </c>
      <c r="AN78" s="129">
        <f t="shared" si="24"/>
        <v>0</v>
      </c>
      <c r="AO78" s="130">
        <f t="shared" si="25"/>
        <v>0</v>
      </c>
      <c r="AP78" s="104">
        <f t="shared" si="26"/>
        <v>1550</v>
      </c>
      <c r="AQ78" s="105">
        <f t="shared" si="26"/>
        <v>19462</v>
      </c>
      <c r="AR78" s="105">
        <f t="shared" si="26"/>
        <v>36854</v>
      </c>
      <c r="AS78" s="105">
        <f t="shared" si="26"/>
        <v>1560</v>
      </c>
      <c r="AT78" s="106">
        <f t="shared" si="26"/>
        <v>3640</v>
      </c>
      <c r="AU78" s="104">
        <f t="shared" si="17"/>
        <v>0</v>
      </c>
      <c r="AV78" s="105">
        <f t="shared" si="27"/>
        <v>0</v>
      </c>
      <c r="AW78" s="105">
        <f t="shared" si="28"/>
        <v>0</v>
      </c>
      <c r="AX78" s="105">
        <f t="shared" si="18"/>
        <v>0</v>
      </c>
      <c r="AY78" s="106">
        <f t="shared" si="19"/>
        <v>33126.911999999997</v>
      </c>
      <c r="AZ78" s="104">
        <f t="shared" si="20"/>
        <v>33126.911999999997</v>
      </c>
      <c r="BA78" s="105">
        <v>1000</v>
      </c>
      <c r="BB78" s="105">
        <f t="shared" si="29"/>
        <v>91</v>
      </c>
      <c r="BC78" s="99"/>
      <c r="BD78" s="100"/>
    </row>
    <row r="79" spans="1:56" ht="15" thickBot="1" x14ac:dyDescent="0.35">
      <c r="A79" s="148">
        <f>+A78</f>
        <v>46017</v>
      </c>
      <c r="B79" s="207">
        <f>DAY(Tabla2[[#This Row],[FECHA]])</f>
        <v>26</v>
      </c>
      <c r="C79" s="137" t="s">
        <v>30</v>
      </c>
      <c r="D79" s="138"/>
      <c r="E79" s="139"/>
      <c r="F79" s="140"/>
      <c r="G79" s="141"/>
      <c r="H79" s="142"/>
      <c r="I79" s="290">
        <f>Tabla2[[#This Row],[VOLUMEN ENVIADO A RO (m3)]]/Tabla2[[#This Row],[Q DE OPERACIÓN (m3/h)]]</f>
        <v>1.1155428571428569</v>
      </c>
      <c r="J79" s="279">
        <v>0</v>
      </c>
      <c r="K79" s="280">
        <v>19</v>
      </c>
      <c r="L79" s="281">
        <v>3</v>
      </c>
      <c r="M79" s="280">
        <v>0</v>
      </c>
      <c r="N79" s="281">
        <v>0</v>
      </c>
      <c r="O79" s="188">
        <v>0</v>
      </c>
      <c r="P79" s="193">
        <v>166.66666666666669</v>
      </c>
      <c r="Q79" s="193">
        <v>26.315789473684212</v>
      </c>
      <c r="R79" s="193">
        <v>0</v>
      </c>
      <c r="S79" s="193">
        <v>0</v>
      </c>
      <c r="T79" s="184">
        <v>0</v>
      </c>
      <c r="U79" s="185">
        <v>0</v>
      </c>
      <c r="V79" s="185">
        <v>0</v>
      </c>
      <c r="W79" s="185">
        <v>0</v>
      </c>
      <c r="X79" s="186">
        <v>0</v>
      </c>
      <c r="Y79" s="191">
        <v>1.18</v>
      </c>
      <c r="Z79" s="191">
        <v>1.28</v>
      </c>
      <c r="AA79" s="191">
        <v>1.2</v>
      </c>
      <c r="AB79" s="191">
        <v>1.53</v>
      </c>
      <c r="AC79" s="191">
        <v>1.2</v>
      </c>
      <c r="AD79" s="195">
        <v>0</v>
      </c>
      <c r="AE79" s="196">
        <v>0</v>
      </c>
      <c r="AF79" s="196">
        <v>0</v>
      </c>
      <c r="AG79" s="196">
        <v>0</v>
      </c>
      <c r="AH79" s="197">
        <v>0</v>
      </c>
      <c r="AI79" s="403">
        <v>78.087999999999994</v>
      </c>
      <c r="AJ79" s="310">
        <v>70</v>
      </c>
      <c r="AK79" s="128">
        <f t="shared" si="21"/>
        <v>0</v>
      </c>
      <c r="AL79" s="129">
        <f t="shared" si="22"/>
        <v>0</v>
      </c>
      <c r="AM79" s="129">
        <f t="shared" si="23"/>
        <v>0</v>
      </c>
      <c r="AN79" s="129">
        <f t="shared" si="24"/>
        <v>0</v>
      </c>
      <c r="AO79" s="130">
        <f t="shared" si="25"/>
        <v>0</v>
      </c>
      <c r="AP79" s="104">
        <f t="shared" si="26"/>
        <v>1550</v>
      </c>
      <c r="AQ79" s="105">
        <f t="shared" si="26"/>
        <v>19462</v>
      </c>
      <c r="AR79" s="105">
        <f t="shared" si="26"/>
        <v>36854</v>
      </c>
      <c r="AS79" s="105">
        <f t="shared" si="26"/>
        <v>1560</v>
      </c>
      <c r="AT79" s="106">
        <f t="shared" si="26"/>
        <v>3640</v>
      </c>
      <c r="AU79" s="107">
        <f t="shared" si="17"/>
        <v>0</v>
      </c>
      <c r="AV79" s="108">
        <f t="shared" si="27"/>
        <v>0</v>
      </c>
      <c r="AW79" s="108">
        <f t="shared" si="28"/>
        <v>0</v>
      </c>
      <c r="AX79" s="108">
        <f t="shared" si="18"/>
        <v>0</v>
      </c>
      <c r="AY79" s="109">
        <f t="shared" si="19"/>
        <v>7106.0079999999998</v>
      </c>
      <c r="AZ79" s="107">
        <f t="shared" si="20"/>
        <v>7106.0079999999998</v>
      </c>
      <c r="BA79" s="108">
        <v>1000</v>
      </c>
      <c r="BB79" s="108">
        <f t="shared" si="29"/>
        <v>91</v>
      </c>
      <c r="BC79" s="98"/>
      <c r="BD79" s="101"/>
    </row>
    <row r="80" spans="1:56" ht="15" thickBot="1" x14ac:dyDescent="0.35">
      <c r="A80" s="143">
        <f>+A79+1</f>
        <v>46018</v>
      </c>
      <c r="B80" s="208">
        <f>DAY(Tabla2[[#This Row],[FECHA]])</f>
        <v>27</v>
      </c>
      <c r="C80" s="152" t="s">
        <v>28</v>
      </c>
      <c r="D80" s="144"/>
      <c r="E80" s="145"/>
      <c r="F80" s="146"/>
      <c r="G80" s="146"/>
      <c r="H80" s="145"/>
      <c r="I80" s="290">
        <f>Tabla2[[#This Row],[VOLUMEN ENVIADO A RO (m3)]]/Tabla2[[#This Row],[Q DE OPERACIÓN (m3/h)]]</f>
        <v>2.7443030303030302</v>
      </c>
      <c r="J80" s="273">
        <v>0</v>
      </c>
      <c r="K80" s="274">
        <v>19</v>
      </c>
      <c r="L80" s="275">
        <v>3</v>
      </c>
      <c r="M80" s="274">
        <v>0</v>
      </c>
      <c r="N80" s="275">
        <v>0</v>
      </c>
      <c r="O80" s="188">
        <v>0</v>
      </c>
      <c r="P80" s="199">
        <v>166.66666666666669</v>
      </c>
      <c r="Q80" s="182">
        <v>26.315789473684212</v>
      </c>
      <c r="R80" s="199">
        <v>0</v>
      </c>
      <c r="S80" s="199">
        <v>0</v>
      </c>
      <c r="T80" s="184">
        <v>0</v>
      </c>
      <c r="U80" s="185">
        <v>0</v>
      </c>
      <c r="V80" s="185">
        <v>0</v>
      </c>
      <c r="W80" s="185">
        <v>0</v>
      </c>
      <c r="X80" s="186">
        <v>0</v>
      </c>
      <c r="Y80" s="191">
        <v>1.18</v>
      </c>
      <c r="Z80" s="191">
        <v>1.28</v>
      </c>
      <c r="AA80" s="191">
        <v>1.2</v>
      </c>
      <c r="AB80" s="191">
        <v>1.53</v>
      </c>
      <c r="AC80" s="191">
        <v>1.2</v>
      </c>
      <c r="AD80" s="200">
        <v>0</v>
      </c>
      <c r="AE80" s="201">
        <v>0</v>
      </c>
      <c r="AF80" s="201">
        <v>0</v>
      </c>
      <c r="AG80" s="201">
        <v>0</v>
      </c>
      <c r="AH80" s="202">
        <v>0</v>
      </c>
      <c r="AI80" s="401">
        <v>181.124</v>
      </c>
      <c r="AJ80" s="310">
        <v>66</v>
      </c>
      <c r="AK80" s="128">
        <f t="shared" si="21"/>
        <v>0</v>
      </c>
      <c r="AL80" s="129">
        <f t="shared" si="22"/>
        <v>0</v>
      </c>
      <c r="AM80" s="129">
        <f t="shared" si="23"/>
        <v>0</v>
      </c>
      <c r="AN80" s="129">
        <f t="shared" si="24"/>
        <v>0</v>
      </c>
      <c r="AO80" s="130">
        <f t="shared" si="25"/>
        <v>0</v>
      </c>
      <c r="AP80" s="104">
        <f t="shared" si="26"/>
        <v>1550</v>
      </c>
      <c r="AQ80" s="105">
        <f t="shared" si="26"/>
        <v>19462</v>
      </c>
      <c r="AR80" s="105">
        <f t="shared" si="26"/>
        <v>36854</v>
      </c>
      <c r="AS80" s="105">
        <f t="shared" si="26"/>
        <v>1560</v>
      </c>
      <c r="AT80" s="106">
        <f t="shared" si="26"/>
        <v>3640</v>
      </c>
      <c r="AU80" s="104">
        <f t="shared" si="17"/>
        <v>0</v>
      </c>
      <c r="AV80" s="105">
        <f t="shared" si="27"/>
        <v>0</v>
      </c>
      <c r="AW80" s="105">
        <f t="shared" si="28"/>
        <v>0</v>
      </c>
      <c r="AX80" s="105">
        <f t="shared" si="18"/>
        <v>0</v>
      </c>
      <c r="AY80" s="106">
        <f t="shared" si="19"/>
        <v>16482.284</v>
      </c>
      <c r="AZ80" s="104">
        <f t="shared" si="20"/>
        <v>16482.284</v>
      </c>
      <c r="BA80" s="105">
        <v>1000</v>
      </c>
      <c r="BB80" s="105">
        <f t="shared" si="29"/>
        <v>91</v>
      </c>
      <c r="BC80" s="99"/>
      <c r="BD80" s="100"/>
    </row>
    <row r="81" spans="1:56" ht="15" thickBot="1" x14ac:dyDescent="0.35">
      <c r="A81" s="147">
        <f>+A80</f>
        <v>46018</v>
      </c>
      <c r="B81" s="206">
        <f>DAY(Tabla2[[#This Row],[FECHA]])</f>
        <v>27</v>
      </c>
      <c r="C81" s="132" t="s">
        <v>29</v>
      </c>
      <c r="D81" s="133"/>
      <c r="E81" s="134"/>
      <c r="F81" s="135"/>
      <c r="G81" s="135"/>
      <c r="H81" s="134"/>
      <c r="I81" s="290">
        <f>Tabla2[[#This Row],[VOLUMEN ENVIADO A RO (m3)]]/Tabla2[[#This Row],[Q DE OPERACIÓN (m3/h)]]</f>
        <v>2.8397424242424241</v>
      </c>
      <c r="J81" s="276">
        <v>0</v>
      </c>
      <c r="K81" s="277">
        <v>19</v>
      </c>
      <c r="L81" s="278">
        <v>3</v>
      </c>
      <c r="M81" s="277">
        <v>0</v>
      </c>
      <c r="N81" s="278">
        <v>0</v>
      </c>
      <c r="O81" s="188">
        <v>0</v>
      </c>
      <c r="P81" s="189">
        <v>166.66666666666669</v>
      </c>
      <c r="Q81" s="189">
        <v>26.315789473684212</v>
      </c>
      <c r="R81" s="189">
        <v>0</v>
      </c>
      <c r="S81" s="189">
        <v>0</v>
      </c>
      <c r="T81" s="184">
        <v>0</v>
      </c>
      <c r="U81" s="185">
        <v>0</v>
      </c>
      <c r="V81" s="185">
        <v>0</v>
      </c>
      <c r="W81" s="185">
        <v>0</v>
      </c>
      <c r="X81" s="186">
        <v>0</v>
      </c>
      <c r="Y81" s="191">
        <v>1.18</v>
      </c>
      <c r="Z81" s="191">
        <v>1.28</v>
      </c>
      <c r="AA81" s="191">
        <v>1.2</v>
      </c>
      <c r="AB81" s="191">
        <v>1.53</v>
      </c>
      <c r="AC81" s="191">
        <v>1.2</v>
      </c>
      <c r="AD81" s="184">
        <v>0</v>
      </c>
      <c r="AE81" s="185">
        <v>0</v>
      </c>
      <c r="AF81" s="185">
        <v>0</v>
      </c>
      <c r="AG81" s="185">
        <v>0</v>
      </c>
      <c r="AH81" s="186">
        <v>0</v>
      </c>
      <c r="AI81" s="402">
        <v>187.423</v>
      </c>
      <c r="AJ81" s="310">
        <v>66</v>
      </c>
      <c r="AK81" s="128">
        <f t="shared" si="21"/>
        <v>0</v>
      </c>
      <c r="AL81" s="129">
        <f t="shared" si="22"/>
        <v>0</v>
      </c>
      <c r="AM81" s="129">
        <f t="shared" si="23"/>
        <v>0</v>
      </c>
      <c r="AN81" s="129">
        <f t="shared" si="24"/>
        <v>0</v>
      </c>
      <c r="AO81" s="130">
        <f t="shared" si="25"/>
        <v>0</v>
      </c>
      <c r="AP81" s="104">
        <f t="shared" si="26"/>
        <v>1550</v>
      </c>
      <c r="AQ81" s="105">
        <f t="shared" si="26"/>
        <v>19462</v>
      </c>
      <c r="AR81" s="105">
        <f t="shared" si="26"/>
        <v>36854</v>
      </c>
      <c r="AS81" s="105">
        <f t="shared" si="26"/>
        <v>1560</v>
      </c>
      <c r="AT81" s="106">
        <f t="shared" si="26"/>
        <v>3640</v>
      </c>
      <c r="AU81" s="104">
        <f t="shared" si="17"/>
        <v>0</v>
      </c>
      <c r="AV81" s="105">
        <f t="shared" si="27"/>
        <v>0</v>
      </c>
      <c r="AW81" s="105">
        <f>AR81*(AG81*0.044)</f>
        <v>0</v>
      </c>
      <c r="AX81" s="105">
        <f t="shared" si="18"/>
        <v>0</v>
      </c>
      <c r="AY81" s="106">
        <f t="shared" si="19"/>
        <v>17055.492999999999</v>
      </c>
      <c r="AZ81" s="104">
        <f>AU81+AV81+AW81+AX81+AY81</f>
        <v>17055.492999999999</v>
      </c>
      <c r="BA81" s="105">
        <v>1000</v>
      </c>
      <c r="BB81" s="105">
        <f>AZ81/AI81</f>
        <v>90.999999999999986</v>
      </c>
      <c r="BC81" s="99"/>
      <c r="BD81" s="100"/>
    </row>
    <row r="82" spans="1:56" ht="15" thickBot="1" x14ac:dyDescent="0.35">
      <c r="A82" s="148">
        <f>+A81</f>
        <v>46018</v>
      </c>
      <c r="B82" s="207">
        <f>DAY(Tabla2[[#This Row],[FECHA]])</f>
        <v>27</v>
      </c>
      <c r="C82" s="137" t="s">
        <v>30</v>
      </c>
      <c r="D82" s="138"/>
      <c r="E82" s="139"/>
      <c r="F82" s="140"/>
      <c r="G82" s="141"/>
      <c r="H82" s="142"/>
      <c r="I82" s="290">
        <f>Tabla2[[#This Row],[VOLUMEN ENVIADO A RO (m3)]]/Tabla2[[#This Row],[Q DE OPERACIÓN (m3/h)]]</f>
        <v>4.1131969696969701</v>
      </c>
      <c r="J82" s="279">
        <v>0</v>
      </c>
      <c r="K82" s="280">
        <v>19</v>
      </c>
      <c r="L82" s="281">
        <v>3</v>
      </c>
      <c r="M82" s="280">
        <v>0</v>
      </c>
      <c r="N82" s="281">
        <v>0</v>
      </c>
      <c r="O82" s="188">
        <v>0</v>
      </c>
      <c r="P82" s="193">
        <v>166.66666666666669</v>
      </c>
      <c r="Q82" s="193">
        <v>26.315789473684212</v>
      </c>
      <c r="R82" s="193">
        <v>0</v>
      </c>
      <c r="S82" s="193">
        <v>0</v>
      </c>
      <c r="T82" s="184">
        <v>0</v>
      </c>
      <c r="U82" s="185">
        <v>0</v>
      </c>
      <c r="V82" s="185">
        <v>0</v>
      </c>
      <c r="W82" s="185">
        <v>0</v>
      </c>
      <c r="X82" s="186">
        <v>0</v>
      </c>
      <c r="Y82" s="191">
        <v>1.18</v>
      </c>
      <c r="Z82" s="191">
        <v>1.28</v>
      </c>
      <c r="AA82" s="191">
        <v>1.2</v>
      </c>
      <c r="AB82" s="191">
        <v>1.53</v>
      </c>
      <c r="AC82" s="191">
        <v>1.2</v>
      </c>
      <c r="AD82" s="195">
        <v>0</v>
      </c>
      <c r="AE82" s="196">
        <v>0</v>
      </c>
      <c r="AF82" s="196">
        <v>0</v>
      </c>
      <c r="AG82" s="196">
        <v>0</v>
      </c>
      <c r="AH82" s="197">
        <v>0</v>
      </c>
      <c r="AI82" s="403">
        <v>271.471</v>
      </c>
      <c r="AJ82" s="310">
        <v>66</v>
      </c>
      <c r="AK82" s="128">
        <f t="shared" si="21"/>
        <v>0</v>
      </c>
      <c r="AL82" s="129">
        <f t="shared" si="22"/>
        <v>0</v>
      </c>
      <c r="AM82" s="129">
        <f t="shared" si="23"/>
        <v>0</v>
      </c>
      <c r="AN82" s="129">
        <f t="shared" si="24"/>
        <v>0</v>
      </c>
      <c r="AO82" s="130">
        <f t="shared" si="25"/>
        <v>0</v>
      </c>
      <c r="AP82" s="104">
        <f t="shared" si="26"/>
        <v>1550</v>
      </c>
      <c r="AQ82" s="105">
        <f t="shared" si="26"/>
        <v>19462</v>
      </c>
      <c r="AR82" s="105">
        <f t="shared" si="26"/>
        <v>36854</v>
      </c>
      <c r="AS82" s="105">
        <f t="shared" si="26"/>
        <v>1560</v>
      </c>
      <c r="AT82" s="106">
        <f t="shared" si="26"/>
        <v>3640</v>
      </c>
      <c r="AU82" s="107">
        <f t="shared" si="17"/>
        <v>0</v>
      </c>
      <c r="AV82" s="108">
        <f t="shared" si="27"/>
        <v>0</v>
      </c>
      <c r="AW82" s="108">
        <f t="shared" si="28"/>
        <v>0</v>
      </c>
      <c r="AX82" s="108">
        <f t="shared" si="18"/>
        <v>0</v>
      </c>
      <c r="AY82" s="109">
        <f t="shared" si="19"/>
        <v>24703.861000000001</v>
      </c>
      <c r="AZ82" s="107">
        <f t="shared" si="20"/>
        <v>24703.861000000001</v>
      </c>
      <c r="BA82" s="108">
        <v>1000</v>
      </c>
      <c r="BB82" s="108">
        <f t="shared" si="29"/>
        <v>91</v>
      </c>
      <c r="BC82" s="98"/>
      <c r="BD82" s="101"/>
    </row>
    <row r="83" spans="1:56" ht="15" thickBot="1" x14ac:dyDescent="0.35">
      <c r="A83" s="143">
        <f>+A82+1</f>
        <v>46019</v>
      </c>
      <c r="B83" s="208">
        <f>DAY(Tabla2[[#This Row],[FECHA]])</f>
        <v>28</v>
      </c>
      <c r="C83" s="152" t="s">
        <v>28</v>
      </c>
      <c r="D83" s="144"/>
      <c r="E83" s="145"/>
      <c r="F83" s="146"/>
      <c r="G83" s="146"/>
      <c r="H83" s="145"/>
      <c r="I83" s="290">
        <f>Tabla2[[#This Row],[VOLUMEN ENVIADO A RO (m3)]]/Tabla2[[#This Row],[Q DE OPERACIÓN (m3/h)]]</f>
        <v>7.9139846153846154</v>
      </c>
      <c r="J83" s="273">
        <v>0</v>
      </c>
      <c r="K83" s="274">
        <v>19</v>
      </c>
      <c r="L83" s="275">
        <v>3</v>
      </c>
      <c r="M83" s="274">
        <v>0</v>
      </c>
      <c r="N83" s="275">
        <v>0</v>
      </c>
      <c r="O83" s="188">
        <v>0</v>
      </c>
      <c r="P83" s="199">
        <v>166.66666666666669</v>
      </c>
      <c r="Q83" s="182">
        <v>26.315789473684212</v>
      </c>
      <c r="R83" s="199">
        <v>0</v>
      </c>
      <c r="S83" s="199">
        <v>0</v>
      </c>
      <c r="T83" s="184">
        <v>0</v>
      </c>
      <c r="U83" s="185">
        <v>0</v>
      </c>
      <c r="V83" s="185">
        <v>0</v>
      </c>
      <c r="W83" s="185">
        <v>0</v>
      </c>
      <c r="X83" s="186">
        <v>0</v>
      </c>
      <c r="Y83" s="191">
        <v>1.18</v>
      </c>
      <c r="Z83" s="191">
        <v>1.28</v>
      </c>
      <c r="AA83" s="191">
        <v>1.2</v>
      </c>
      <c r="AB83" s="191">
        <v>1.53</v>
      </c>
      <c r="AC83" s="191">
        <v>1.2</v>
      </c>
      <c r="AD83" s="200">
        <v>0</v>
      </c>
      <c r="AE83" s="201">
        <v>0</v>
      </c>
      <c r="AF83" s="201">
        <v>0</v>
      </c>
      <c r="AG83" s="201">
        <v>0</v>
      </c>
      <c r="AH83" s="202">
        <v>0</v>
      </c>
      <c r="AI83" s="401">
        <v>514.40899999999999</v>
      </c>
      <c r="AJ83" s="310">
        <v>65</v>
      </c>
      <c r="AK83" s="128">
        <f t="shared" si="21"/>
        <v>0</v>
      </c>
      <c r="AL83" s="129">
        <f t="shared" si="22"/>
        <v>0</v>
      </c>
      <c r="AM83" s="129">
        <f t="shared" si="23"/>
        <v>0</v>
      </c>
      <c r="AN83" s="129">
        <f t="shared" si="24"/>
        <v>0</v>
      </c>
      <c r="AO83" s="130">
        <f t="shared" si="25"/>
        <v>0</v>
      </c>
      <c r="AP83" s="104">
        <f t="shared" ref="AP83:AT95" si="30">AP82</f>
        <v>1550</v>
      </c>
      <c r="AQ83" s="105">
        <f t="shared" si="30"/>
        <v>19462</v>
      </c>
      <c r="AR83" s="105">
        <f t="shared" si="30"/>
        <v>36854</v>
      </c>
      <c r="AS83" s="105">
        <f t="shared" si="30"/>
        <v>1560</v>
      </c>
      <c r="AT83" s="106">
        <f t="shared" si="30"/>
        <v>3640</v>
      </c>
      <c r="AU83" s="104">
        <f t="shared" si="17"/>
        <v>0</v>
      </c>
      <c r="AV83" s="105">
        <f t="shared" si="27"/>
        <v>0</v>
      </c>
      <c r="AW83" s="105">
        <f t="shared" si="28"/>
        <v>0</v>
      </c>
      <c r="AX83" s="105">
        <f t="shared" si="18"/>
        <v>0</v>
      </c>
      <c r="AY83" s="106">
        <f t="shared" si="19"/>
        <v>46811.218999999997</v>
      </c>
      <c r="AZ83" s="104">
        <f t="shared" si="20"/>
        <v>46811.218999999997</v>
      </c>
      <c r="BA83" s="105">
        <v>1000</v>
      </c>
      <c r="BB83" s="105">
        <f t="shared" si="29"/>
        <v>91</v>
      </c>
      <c r="BC83" s="99"/>
      <c r="BD83" s="100"/>
    </row>
    <row r="84" spans="1:56" ht="15" thickBot="1" x14ac:dyDescent="0.35">
      <c r="A84" s="147">
        <f>+A83</f>
        <v>46019</v>
      </c>
      <c r="B84" s="206">
        <f>DAY(Tabla2[[#This Row],[FECHA]])</f>
        <v>28</v>
      </c>
      <c r="C84" s="132" t="s">
        <v>29</v>
      </c>
      <c r="D84" s="133"/>
      <c r="E84" s="134"/>
      <c r="F84" s="135"/>
      <c r="G84" s="135"/>
      <c r="H84" s="134"/>
      <c r="I84" s="290">
        <f>Tabla2[[#This Row],[VOLUMEN ENVIADO A RO (m3)]]/Tabla2[[#This Row],[Q DE OPERACIÓN (m3/h)]]</f>
        <v>0</v>
      </c>
      <c r="J84" s="276">
        <v>0</v>
      </c>
      <c r="K84" s="277">
        <v>19</v>
      </c>
      <c r="L84" s="278">
        <v>3</v>
      </c>
      <c r="M84" s="277">
        <v>0</v>
      </c>
      <c r="N84" s="278">
        <v>0</v>
      </c>
      <c r="O84" s="188">
        <v>0</v>
      </c>
      <c r="P84" s="189">
        <v>166.66666666666669</v>
      </c>
      <c r="Q84" s="189">
        <v>26.315789473684212</v>
      </c>
      <c r="R84" s="189">
        <v>0</v>
      </c>
      <c r="S84" s="189">
        <v>0</v>
      </c>
      <c r="T84" s="184">
        <v>0</v>
      </c>
      <c r="U84" s="185">
        <v>0</v>
      </c>
      <c r="V84" s="185">
        <v>0</v>
      </c>
      <c r="W84" s="185">
        <v>0</v>
      </c>
      <c r="X84" s="186">
        <v>0</v>
      </c>
      <c r="Y84" s="191">
        <v>1.18</v>
      </c>
      <c r="Z84" s="191">
        <v>1.28</v>
      </c>
      <c r="AA84" s="191">
        <v>1.2</v>
      </c>
      <c r="AB84" s="191">
        <v>1.53</v>
      </c>
      <c r="AC84" s="191">
        <v>1.2</v>
      </c>
      <c r="AD84" s="184">
        <v>0</v>
      </c>
      <c r="AE84" s="185">
        <v>0</v>
      </c>
      <c r="AF84" s="185">
        <v>0</v>
      </c>
      <c r="AG84" s="185">
        <v>0</v>
      </c>
      <c r="AH84" s="186">
        <v>0</v>
      </c>
      <c r="AI84" s="402">
        <v>0</v>
      </c>
      <c r="AJ84" s="310">
        <v>65</v>
      </c>
      <c r="AK84" s="128" t="e">
        <f t="shared" si="21"/>
        <v>#DIV/0!</v>
      </c>
      <c r="AL84" s="129" t="e">
        <f t="shared" si="22"/>
        <v>#DIV/0!</v>
      </c>
      <c r="AM84" s="129" t="e">
        <f t="shared" si="23"/>
        <v>#DIV/0!</v>
      </c>
      <c r="AN84" s="129" t="e">
        <f t="shared" si="24"/>
        <v>#DIV/0!</v>
      </c>
      <c r="AO84" s="130" t="e">
        <f t="shared" si="25"/>
        <v>#DIV/0!</v>
      </c>
      <c r="AP84" s="104">
        <f t="shared" si="30"/>
        <v>1550</v>
      </c>
      <c r="AQ84" s="105">
        <f t="shared" si="30"/>
        <v>19462</v>
      </c>
      <c r="AR84" s="105">
        <f t="shared" si="30"/>
        <v>36854</v>
      </c>
      <c r="AS84" s="105">
        <f t="shared" si="30"/>
        <v>1560</v>
      </c>
      <c r="AT84" s="106">
        <f t="shared" si="30"/>
        <v>3640</v>
      </c>
      <c r="AU84" s="104">
        <f t="shared" si="17"/>
        <v>0</v>
      </c>
      <c r="AV84" s="105">
        <f t="shared" si="27"/>
        <v>0</v>
      </c>
      <c r="AW84" s="105">
        <f t="shared" si="28"/>
        <v>0</v>
      </c>
      <c r="AX84" s="105">
        <f t="shared" si="18"/>
        <v>0</v>
      </c>
      <c r="AY84" s="106">
        <f t="shared" si="19"/>
        <v>0</v>
      </c>
      <c r="AZ84" s="104">
        <f t="shared" si="20"/>
        <v>0</v>
      </c>
      <c r="BA84" s="105">
        <v>1000</v>
      </c>
      <c r="BB84" s="105" t="e">
        <f t="shared" si="29"/>
        <v>#DIV/0!</v>
      </c>
      <c r="BC84" s="99"/>
      <c r="BD84" s="100"/>
    </row>
    <row r="85" spans="1:56" ht="15" thickBot="1" x14ac:dyDescent="0.35">
      <c r="A85" s="148">
        <f>+A84</f>
        <v>46019</v>
      </c>
      <c r="B85" s="207">
        <f>DAY(Tabla2[[#This Row],[FECHA]])</f>
        <v>28</v>
      </c>
      <c r="C85" s="137" t="s">
        <v>30</v>
      </c>
      <c r="D85" s="138"/>
      <c r="E85" s="139"/>
      <c r="F85" s="140"/>
      <c r="G85" s="141"/>
      <c r="H85" s="142"/>
      <c r="I85" s="290">
        <f>Tabla2[[#This Row],[VOLUMEN ENVIADO A RO (m3)]]/Tabla2[[#This Row],[Q DE OPERACIÓN (m3/h)]]</f>
        <v>8.0697076923076914</v>
      </c>
      <c r="J85" s="279">
        <v>0</v>
      </c>
      <c r="K85" s="280">
        <v>19</v>
      </c>
      <c r="L85" s="281">
        <v>3</v>
      </c>
      <c r="M85" s="280">
        <v>0</v>
      </c>
      <c r="N85" s="281">
        <v>0</v>
      </c>
      <c r="O85" s="188">
        <v>0</v>
      </c>
      <c r="P85" s="193">
        <v>166.66666666666669</v>
      </c>
      <c r="Q85" s="193">
        <v>26.315789473684212</v>
      </c>
      <c r="R85" s="193">
        <v>0</v>
      </c>
      <c r="S85" s="193">
        <v>0</v>
      </c>
      <c r="T85" s="184">
        <v>0</v>
      </c>
      <c r="U85" s="185">
        <v>0</v>
      </c>
      <c r="V85" s="185">
        <v>0</v>
      </c>
      <c r="W85" s="185">
        <v>0</v>
      </c>
      <c r="X85" s="186">
        <v>0</v>
      </c>
      <c r="Y85" s="191">
        <v>1.18</v>
      </c>
      <c r="Z85" s="191">
        <v>1.28</v>
      </c>
      <c r="AA85" s="191">
        <v>1.2</v>
      </c>
      <c r="AB85" s="191">
        <v>1.53</v>
      </c>
      <c r="AC85" s="191">
        <v>1.2</v>
      </c>
      <c r="AD85" s="195">
        <v>0</v>
      </c>
      <c r="AE85" s="196">
        <v>0</v>
      </c>
      <c r="AF85" s="196">
        <v>0</v>
      </c>
      <c r="AG85" s="196">
        <v>0</v>
      </c>
      <c r="AH85" s="197">
        <v>0</v>
      </c>
      <c r="AI85" s="403">
        <v>524.53099999999995</v>
      </c>
      <c r="AJ85" s="310">
        <v>65</v>
      </c>
      <c r="AK85" s="128">
        <f t="shared" si="21"/>
        <v>0</v>
      </c>
      <c r="AL85" s="129">
        <f t="shared" si="22"/>
        <v>0</v>
      </c>
      <c r="AM85" s="129">
        <f t="shared" si="23"/>
        <v>0</v>
      </c>
      <c r="AN85" s="129">
        <f t="shared" si="24"/>
        <v>0</v>
      </c>
      <c r="AO85" s="130">
        <f t="shared" si="25"/>
        <v>0</v>
      </c>
      <c r="AP85" s="104">
        <f t="shared" si="30"/>
        <v>1550</v>
      </c>
      <c r="AQ85" s="105">
        <f t="shared" si="30"/>
        <v>19462</v>
      </c>
      <c r="AR85" s="105">
        <f t="shared" si="30"/>
        <v>36854</v>
      </c>
      <c r="AS85" s="105">
        <f t="shared" si="30"/>
        <v>1560</v>
      </c>
      <c r="AT85" s="106">
        <f t="shared" si="30"/>
        <v>3640</v>
      </c>
      <c r="AU85" s="107">
        <f t="shared" si="17"/>
        <v>0</v>
      </c>
      <c r="AV85" s="108">
        <f t="shared" si="27"/>
        <v>0</v>
      </c>
      <c r="AW85" s="108">
        <f t="shared" si="28"/>
        <v>0</v>
      </c>
      <c r="AX85" s="108">
        <f t="shared" si="18"/>
        <v>0</v>
      </c>
      <c r="AY85" s="109">
        <f t="shared" si="19"/>
        <v>47732.320999999996</v>
      </c>
      <c r="AZ85" s="107">
        <f t="shared" si="20"/>
        <v>47732.320999999996</v>
      </c>
      <c r="BA85" s="108">
        <v>1000</v>
      </c>
      <c r="BB85" s="108">
        <f t="shared" si="29"/>
        <v>91</v>
      </c>
      <c r="BC85" s="98"/>
      <c r="BD85" s="101"/>
    </row>
    <row r="86" spans="1:56" ht="15" thickBot="1" x14ac:dyDescent="0.35">
      <c r="A86" s="143">
        <f>+A85+1</f>
        <v>46020</v>
      </c>
      <c r="B86" s="208">
        <f>DAY(Tabla2[[#This Row],[FECHA]])</f>
        <v>29</v>
      </c>
      <c r="C86" s="152" t="s">
        <v>28</v>
      </c>
      <c r="D86" s="144"/>
      <c r="E86" s="145"/>
      <c r="F86" s="146"/>
      <c r="G86" s="146"/>
      <c r="H86" s="145"/>
      <c r="I86" s="290">
        <f>Tabla2[[#This Row],[VOLUMEN ENVIADO A RO (m3)]]/Tabla2[[#This Row],[Q DE OPERACIÓN (m3/h)]]</f>
        <v>8.8366600000000002</v>
      </c>
      <c r="J86" s="279">
        <v>0</v>
      </c>
      <c r="K86" s="280">
        <v>19</v>
      </c>
      <c r="L86" s="281">
        <v>3</v>
      </c>
      <c r="M86" s="280">
        <v>0</v>
      </c>
      <c r="N86" s="281">
        <v>0</v>
      </c>
      <c r="O86" s="188">
        <v>0</v>
      </c>
      <c r="P86" s="199">
        <v>166.66666666666669</v>
      </c>
      <c r="Q86" s="182">
        <v>26.315789473684212</v>
      </c>
      <c r="R86" s="199">
        <v>0</v>
      </c>
      <c r="S86" s="199">
        <v>0</v>
      </c>
      <c r="T86" s="184">
        <v>0</v>
      </c>
      <c r="U86" s="185">
        <v>0</v>
      </c>
      <c r="V86" s="185">
        <v>0</v>
      </c>
      <c r="W86" s="185">
        <v>0</v>
      </c>
      <c r="X86" s="186">
        <v>0</v>
      </c>
      <c r="Y86" s="191">
        <v>1.18</v>
      </c>
      <c r="Z86" s="191">
        <v>1.28</v>
      </c>
      <c r="AA86" s="191">
        <v>1.2</v>
      </c>
      <c r="AB86" s="191">
        <v>1.53</v>
      </c>
      <c r="AC86" s="191">
        <v>1.2</v>
      </c>
      <c r="AD86" s="200">
        <v>0</v>
      </c>
      <c r="AE86" s="201">
        <v>0</v>
      </c>
      <c r="AF86" s="201">
        <v>0</v>
      </c>
      <c r="AG86" s="201">
        <v>0</v>
      </c>
      <c r="AH86" s="202">
        <v>0</v>
      </c>
      <c r="AI86" s="401">
        <v>441.83300000000003</v>
      </c>
      <c r="AJ86" s="310">
        <v>50</v>
      </c>
      <c r="AK86" s="128">
        <f t="shared" si="21"/>
        <v>0</v>
      </c>
      <c r="AL86" s="129">
        <f t="shared" si="22"/>
        <v>0</v>
      </c>
      <c r="AM86" s="129">
        <f t="shared" si="23"/>
        <v>0</v>
      </c>
      <c r="AN86" s="129">
        <f t="shared" si="24"/>
        <v>0</v>
      </c>
      <c r="AO86" s="130">
        <f t="shared" si="25"/>
        <v>0</v>
      </c>
      <c r="AP86" s="104">
        <f t="shared" si="30"/>
        <v>1550</v>
      </c>
      <c r="AQ86" s="105">
        <f t="shared" si="30"/>
        <v>19462</v>
      </c>
      <c r="AR86" s="105">
        <f t="shared" si="30"/>
        <v>36854</v>
      </c>
      <c r="AS86" s="105">
        <f t="shared" si="30"/>
        <v>1560</v>
      </c>
      <c r="AT86" s="106">
        <f t="shared" si="30"/>
        <v>3640</v>
      </c>
      <c r="AU86" s="104">
        <f t="shared" si="17"/>
        <v>0</v>
      </c>
      <c r="AV86" s="105">
        <f t="shared" si="27"/>
        <v>0</v>
      </c>
      <c r="AW86" s="105">
        <f t="shared" si="28"/>
        <v>0</v>
      </c>
      <c r="AX86" s="105">
        <f t="shared" si="18"/>
        <v>0</v>
      </c>
      <c r="AY86" s="106">
        <f t="shared" si="19"/>
        <v>40206.803</v>
      </c>
      <c r="AZ86" s="104">
        <f t="shared" si="20"/>
        <v>40206.803</v>
      </c>
      <c r="BA86" s="105">
        <v>1000</v>
      </c>
      <c r="BB86" s="105">
        <f t="shared" si="29"/>
        <v>91</v>
      </c>
      <c r="BC86" s="99"/>
      <c r="BD86" s="100"/>
    </row>
    <row r="87" spans="1:56" ht="15" thickBot="1" x14ac:dyDescent="0.35">
      <c r="A87" s="147">
        <f>+A86</f>
        <v>46020</v>
      </c>
      <c r="B87" s="206">
        <f>DAY(Tabla2[[#This Row],[FECHA]])</f>
        <v>29</v>
      </c>
      <c r="C87" s="132" t="s">
        <v>29</v>
      </c>
      <c r="D87" s="133"/>
      <c r="E87" s="134"/>
      <c r="F87" s="135"/>
      <c r="G87" s="135"/>
      <c r="H87" s="134"/>
      <c r="I87" s="290">
        <f>Tabla2[[#This Row],[VOLUMEN ENVIADO A RO (m3)]]/Tabla2[[#This Row],[Q DE OPERACIÓN (m3/h)]]</f>
        <v>4.8752461538461542</v>
      </c>
      <c r="J87" s="279">
        <v>0</v>
      </c>
      <c r="K87" s="280">
        <v>19</v>
      </c>
      <c r="L87" s="281">
        <v>3</v>
      </c>
      <c r="M87" s="280">
        <v>0</v>
      </c>
      <c r="N87" s="281">
        <v>0</v>
      </c>
      <c r="O87" s="188">
        <v>0</v>
      </c>
      <c r="P87" s="189">
        <v>166.66666666666669</v>
      </c>
      <c r="Q87" s="189">
        <v>26.315789473684212</v>
      </c>
      <c r="R87" s="189">
        <v>0</v>
      </c>
      <c r="S87" s="189">
        <v>0</v>
      </c>
      <c r="T87" s="184">
        <v>0</v>
      </c>
      <c r="U87" s="185">
        <v>0</v>
      </c>
      <c r="V87" s="185">
        <v>0</v>
      </c>
      <c r="W87" s="185">
        <v>0</v>
      </c>
      <c r="X87" s="186">
        <v>0</v>
      </c>
      <c r="Y87" s="191">
        <v>1.18</v>
      </c>
      <c r="Z87" s="191">
        <v>1.28</v>
      </c>
      <c r="AA87" s="191">
        <v>1.2</v>
      </c>
      <c r="AB87" s="191">
        <v>1.53</v>
      </c>
      <c r="AC87" s="191">
        <v>1.2</v>
      </c>
      <c r="AD87" s="184">
        <v>0</v>
      </c>
      <c r="AE87" s="185">
        <v>0</v>
      </c>
      <c r="AF87" s="185">
        <v>0</v>
      </c>
      <c r="AG87" s="185">
        <v>0</v>
      </c>
      <c r="AH87" s="186">
        <v>0</v>
      </c>
      <c r="AI87" s="402">
        <v>316.89100000000002</v>
      </c>
      <c r="AJ87" s="310">
        <v>65</v>
      </c>
      <c r="AK87" s="128">
        <f t="shared" si="21"/>
        <v>0</v>
      </c>
      <c r="AL87" s="129">
        <f t="shared" si="22"/>
        <v>0</v>
      </c>
      <c r="AM87" s="129">
        <f t="shared" si="23"/>
        <v>0</v>
      </c>
      <c r="AN87" s="129">
        <f t="shared" si="24"/>
        <v>0</v>
      </c>
      <c r="AO87" s="130">
        <f t="shared" si="25"/>
        <v>0</v>
      </c>
      <c r="AP87" s="104">
        <f t="shared" si="30"/>
        <v>1550</v>
      </c>
      <c r="AQ87" s="105">
        <f t="shared" si="30"/>
        <v>19462</v>
      </c>
      <c r="AR87" s="105">
        <f t="shared" si="30"/>
        <v>36854</v>
      </c>
      <c r="AS87" s="105">
        <f t="shared" si="30"/>
        <v>1560</v>
      </c>
      <c r="AT87" s="106">
        <f t="shared" si="30"/>
        <v>3640</v>
      </c>
      <c r="AU87" s="104">
        <f t="shared" si="17"/>
        <v>0</v>
      </c>
      <c r="AV87" s="105">
        <f t="shared" si="27"/>
        <v>0</v>
      </c>
      <c r="AW87" s="105">
        <f t="shared" si="28"/>
        <v>0</v>
      </c>
      <c r="AX87" s="105">
        <f t="shared" si="18"/>
        <v>0</v>
      </c>
      <c r="AY87" s="106">
        <f t="shared" si="19"/>
        <v>28837.081000000002</v>
      </c>
      <c r="AZ87" s="104">
        <f t="shared" si="20"/>
        <v>28837.081000000002</v>
      </c>
      <c r="BA87" s="105">
        <v>1000</v>
      </c>
      <c r="BB87" s="105">
        <f t="shared" si="29"/>
        <v>91</v>
      </c>
      <c r="BC87" s="99"/>
      <c r="BD87" s="100"/>
    </row>
    <row r="88" spans="1:56" ht="15" thickBot="1" x14ac:dyDescent="0.35">
      <c r="A88" s="148">
        <f>+A87</f>
        <v>46020</v>
      </c>
      <c r="B88" s="207">
        <f>DAY(Tabla2[[#This Row],[FECHA]])</f>
        <v>29</v>
      </c>
      <c r="C88" s="137" t="s">
        <v>30</v>
      </c>
      <c r="D88" s="138"/>
      <c r="E88" s="139"/>
      <c r="F88" s="140"/>
      <c r="G88" s="141"/>
      <c r="H88" s="142"/>
      <c r="I88" s="290">
        <f>Tabla2[[#This Row],[VOLUMEN ENVIADO A RO (m3)]]/Tabla2[[#This Row],[Q DE OPERACIÓN (m3/h)]]</f>
        <v>5.0162131147540983</v>
      </c>
      <c r="J88" s="279">
        <v>0</v>
      </c>
      <c r="K88" s="280">
        <v>19</v>
      </c>
      <c r="L88" s="281">
        <v>3</v>
      </c>
      <c r="M88" s="280">
        <v>0</v>
      </c>
      <c r="N88" s="281">
        <v>0</v>
      </c>
      <c r="O88" s="192">
        <v>0</v>
      </c>
      <c r="P88" s="193">
        <v>166.66666666666669</v>
      </c>
      <c r="Q88" s="193">
        <v>26.315789473684212</v>
      </c>
      <c r="R88" s="193">
        <v>0</v>
      </c>
      <c r="S88" s="193">
        <v>0</v>
      </c>
      <c r="T88" s="184">
        <v>0</v>
      </c>
      <c r="U88" s="185">
        <v>0</v>
      </c>
      <c r="V88" s="185">
        <v>0</v>
      </c>
      <c r="W88" s="185">
        <v>0</v>
      </c>
      <c r="X88" s="186">
        <v>0</v>
      </c>
      <c r="Y88" s="191">
        <v>1.18</v>
      </c>
      <c r="Z88" s="191">
        <v>1.28</v>
      </c>
      <c r="AA88" s="191">
        <v>1.2</v>
      </c>
      <c r="AB88" s="191">
        <v>1.53</v>
      </c>
      <c r="AC88" s="191">
        <v>1.2</v>
      </c>
      <c r="AD88" s="195">
        <v>0</v>
      </c>
      <c r="AE88" s="196">
        <v>0</v>
      </c>
      <c r="AF88" s="196">
        <v>0</v>
      </c>
      <c r="AG88" s="196">
        <v>0</v>
      </c>
      <c r="AH88" s="197">
        <v>0</v>
      </c>
      <c r="AI88" s="403">
        <v>305.98899999999998</v>
      </c>
      <c r="AJ88" s="310">
        <v>61</v>
      </c>
      <c r="AK88" s="128">
        <f t="shared" si="21"/>
        <v>0</v>
      </c>
      <c r="AL88" s="129">
        <f t="shared" si="22"/>
        <v>0</v>
      </c>
      <c r="AM88" s="129">
        <f t="shared" si="23"/>
        <v>0</v>
      </c>
      <c r="AN88" s="129">
        <f t="shared" si="24"/>
        <v>0</v>
      </c>
      <c r="AO88" s="130">
        <f t="shared" si="25"/>
        <v>0</v>
      </c>
      <c r="AP88" s="104">
        <f t="shared" si="30"/>
        <v>1550</v>
      </c>
      <c r="AQ88" s="105">
        <f t="shared" si="30"/>
        <v>19462</v>
      </c>
      <c r="AR88" s="105">
        <f t="shared" si="30"/>
        <v>36854</v>
      </c>
      <c r="AS88" s="105">
        <f t="shared" si="30"/>
        <v>1560</v>
      </c>
      <c r="AT88" s="106">
        <f t="shared" si="30"/>
        <v>3640</v>
      </c>
      <c r="AU88" s="107">
        <f t="shared" si="17"/>
        <v>0</v>
      </c>
      <c r="AV88" s="108">
        <f t="shared" si="27"/>
        <v>0</v>
      </c>
      <c r="AW88" s="108">
        <f t="shared" si="28"/>
        <v>0</v>
      </c>
      <c r="AX88" s="108">
        <f t="shared" si="18"/>
        <v>0</v>
      </c>
      <c r="AY88" s="109">
        <f t="shared" si="19"/>
        <v>27844.999</v>
      </c>
      <c r="AZ88" s="107">
        <f t="shared" si="20"/>
        <v>27844.999</v>
      </c>
      <c r="BA88" s="108">
        <v>1000</v>
      </c>
      <c r="BB88" s="108">
        <f t="shared" si="29"/>
        <v>91</v>
      </c>
      <c r="BC88" s="98"/>
      <c r="BD88" s="101"/>
    </row>
    <row r="89" spans="1:56" ht="15" thickBot="1" x14ac:dyDescent="0.35">
      <c r="A89" s="143">
        <f>+A88+1</f>
        <v>46021</v>
      </c>
      <c r="B89" s="208">
        <f>DAY(Tabla2[[#This Row],[FECHA]])</f>
        <v>30</v>
      </c>
      <c r="C89" s="152" t="s">
        <v>28</v>
      </c>
      <c r="D89" s="144"/>
      <c r="E89" s="145"/>
      <c r="F89" s="146"/>
      <c r="G89" s="146"/>
      <c r="H89" s="145"/>
      <c r="I89" s="290">
        <f>Tabla2[[#This Row],[VOLUMEN ENVIADO A RO (m3)]]/Tabla2[[#This Row],[Q DE OPERACIÓN (m3/h)]]</f>
        <v>8.406883333333333</v>
      </c>
      <c r="J89" s="279">
        <v>0</v>
      </c>
      <c r="K89" s="280">
        <v>19</v>
      </c>
      <c r="L89" s="281">
        <v>3</v>
      </c>
      <c r="M89" s="280">
        <v>0</v>
      </c>
      <c r="N89" s="281">
        <v>0</v>
      </c>
      <c r="O89" s="198">
        <v>0</v>
      </c>
      <c r="P89" s="199">
        <v>166.66666666666669</v>
      </c>
      <c r="Q89" s="182">
        <v>26.315789473684212</v>
      </c>
      <c r="R89" s="199">
        <v>0</v>
      </c>
      <c r="S89" s="199">
        <v>0</v>
      </c>
      <c r="T89" s="184">
        <v>0</v>
      </c>
      <c r="U89" s="185">
        <v>0</v>
      </c>
      <c r="V89" s="185">
        <v>0</v>
      </c>
      <c r="W89" s="185">
        <v>0</v>
      </c>
      <c r="X89" s="186">
        <v>0</v>
      </c>
      <c r="Y89" s="191">
        <v>1.18</v>
      </c>
      <c r="Z89" s="191">
        <v>1.28</v>
      </c>
      <c r="AA89" s="191">
        <v>1.2</v>
      </c>
      <c r="AB89" s="191">
        <v>1.53</v>
      </c>
      <c r="AC89" s="191">
        <v>1.2</v>
      </c>
      <c r="AD89" s="200">
        <v>0</v>
      </c>
      <c r="AE89" s="201">
        <v>0</v>
      </c>
      <c r="AF89" s="201">
        <v>0</v>
      </c>
      <c r="AG89" s="201">
        <v>0</v>
      </c>
      <c r="AH89" s="202">
        <v>0</v>
      </c>
      <c r="AI89" s="401">
        <v>504.41300000000001</v>
      </c>
      <c r="AJ89" s="310">
        <v>60</v>
      </c>
      <c r="AK89" s="128">
        <f t="shared" si="21"/>
        <v>0</v>
      </c>
      <c r="AL89" s="129">
        <f t="shared" si="22"/>
        <v>0</v>
      </c>
      <c r="AM89" s="129">
        <f t="shared" si="23"/>
        <v>0</v>
      </c>
      <c r="AN89" s="129">
        <f t="shared" si="24"/>
        <v>0</v>
      </c>
      <c r="AO89" s="130">
        <f t="shared" si="25"/>
        <v>0</v>
      </c>
      <c r="AP89" s="104">
        <f t="shared" si="30"/>
        <v>1550</v>
      </c>
      <c r="AQ89" s="105">
        <f t="shared" si="30"/>
        <v>19462</v>
      </c>
      <c r="AR89" s="105">
        <f t="shared" si="30"/>
        <v>36854</v>
      </c>
      <c r="AS89" s="105">
        <f t="shared" si="30"/>
        <v>1560</v>
      </c>
      <c r="AT89" s="106">
        <f t="shared" si="30"/>
        <v>3640</v>
      </c>
      <c r="AU89" s="104">
        <f t="shared" si="17"/>
        <v>0</v>
      </c>
      <c r="AV89" s="105">
        <f t="shared" si="27"/>
        <v>0</v>
      </c>
      <c r="AW89" s="105">
        <f t="shared" si="28"/>
        <v>0</v>
      </c>
      <c r="AX89" s="105">
        <f t="shared" si="18"/>
        <v>0</v>
      </c>
      <c r="AY89" s="106">
        <f t="shared" si="19"/>
        <v>45901.583000000006</v>
      </c>
      <c r="AZ89" s="104">
        <f t="shared" si="20"/>
        <v>45901.583000000006</v>
      </c>
      <c r="BA89" s="105">
        <v>1000</v>
      </c>
      <c r="BB89" s="105">
        <f t="shared" si="29"/>
        <v>91.000000000000014</v>
      </c>
      <c r="BC89" s="99"/>
      <c r="BD89" s="100"/>
    </row>
    <row r="90" spans="1:56" ht="15" thickBot="1" x14ac:dyDescent="0.35">
      <c r="A90" s="147">
        <f>+A89</f>
        <v>46021</v>
      </c>
      <c r="B90" s="206">
        <f>DAY(Tabla2[[#This Row],[FECHA]])</f>
        <v>30</v>
      </c>
      <c r="C90" s="132" t="s">
        <v>29</v>
      </c>
      <c r="D90" s="133"/>
      <c r="E90" s="134"/>
      <c r="F90" s="135"/>
      <c r="G90" s="135"/>
      <c r="H90" s="134"/>
      <c r="I90" s="290">
        <f>Tabla2[[#This Row],[VOLUMEN ENVIADO A RO (m3)]]/Tabla2[[#This Row],[Q DE OPERACIÓN (m3/h)]]</f>
        <v>5.1084166666666668</v>
      </c>
      <c r="J90" s="279">
        <v>0</v>
      </c>
      <c r="K90" s="280">
        <v>19</v>
      </c>
      <c r="L90" s="281">
        <v>3</v>
      </c>
      <c r="M90" s="280">
        <v>0</v>
      </c>
      <c r="N90" s="281">
        <v>0</v>
      </c>
      <c r="O90" s="188">
        <v>0</v>
      </c>
      <c r="P90" s="189">
        <v>166.66666666666669</v>
      </c>
      <c r="Q90" s="189">
        <v>26.315789473684212</v>
      </c>
      <c r="R90" s="189">
        <v>0</v>
      </c>
      <c r="S90" s="189">
        <v>0</v>
      </c>
      <c r="T90" s="184">
        <v>0</v>
      </c>
      <c r="U90" s="185">
        <v>0</v>
      </c>
      <c r="V90" s="185">
        <v>0</v>
      </c>
      <c r="W90" s="185">
        <v>0</v>
      </c>
      <c r="X90" s="186">
        <v>0</v>
      </c>
      <c r="Y90" s="191">
        <v>1.18</v>
      </c>
      <c r="Z90" s="191">
        <v>1.28</v>
      </c>
      <c r="AA90" s="191">
        <v>1.2</v>
      </c>
      <c r="AB90" s="191">
        <v>1.53</v>
      </c>
      <c r="AC90" s="191">
        <v>1.2</v>
      </c>
      <c r="AD90" s="184">
        <v>0</v>
      </c>
      <c r="AE90" s="185">
        <v>0</v>
      </c>
      <c r="AF90" s="185">
        <v>0</v>
      </c>
      <c r="AG90" s="185">
        <v>0</v>
      </c>
      <c r="AH90" s="186">
        <v>0</v>
      </c>
      <c r="AI90" s="402">
        <v>306.505</v>
      </c>
      <c r="AJ90" s="310">
        <v>60</v>
      </c>
      <c r="AK90" s="128">
        <f t="shared" si="21"/>
        <v>0</v>
      </c>
      <c r="AL90" s="129">
        <f t="shared" si="22"/>
        <v>0</v>
      </c>
      <c r="AM90" s="129">
        <f t="shared" si="23"/>
        <v>0</v>
      </c>
      <c r="AN90" s="129">
        <f t="shared" si="24"/>
        <v>0</v>
      </c>
      <c r="AO90" s="130">
        <f t="shared" si="25"/>
        <v>0</v>
      </c>
      <c r="AP90" s="104">
        <f t="shared" si="30"/>
        <v>1550</v>
      </c>
      <c r="AQ90" s="105">
        <f t="shared" si="30"/>
        <v>19462</v>
      </c>
      <c r="AR90" s="105">
        <f t="shared" si="30"/>
        <v>36854</v>
      </c>
      <c r="AS90" s="105">
        <f t="shared" si="30"/>
        <v>1560</v>
      </c>
      <c r="AT90" s="106">
        <f t="shared" si="30"/>
        <v>3640</v>
      </c>
      <c r="AU90" s="104">
        <f t="shared" si="17"/>
        <v>0</v>
      </c>
      <c r="AV90" s="105">
        <f t="shared" si="27"/>
        <v>0</v>
      </c>
      <c r="AW90" s="105">
        <f t="shared" si="28"/>
        <v>0</v>
      </c>
      <c r="AX90" s="105">
        <f t="shared" si="18"/>
        <v>0</v>
      </c>
      <c r="AY90" s="106">
        <f t="shared" si="19"/>
        <v>27891.955000000002</v>
      </c>
      <c r="AZ90" s="104">
        <f t="shared" si="20"/>
        <v>27891.955000000002</v>
      </c>
      <c r="BA90" s="105">
        <v>1000</v>
      </c>
      <c r="BB90" s="105">
        <f t="shared" si="29"/>
        <v>91</v>
      </c>
      <c r="BC90" s="99"/>
      <c r="BD90" s="100"/>
    </row>
    <row r="91" spans="1:56" ht="15" thickBot="1" x14ac:dyDescent="0.35">
      <c r="A91" s="148">
        <f>+A90</f>
        <v>46021</v>
      </c>
      <c r="B91" s="207">
        <f>DAY(Tabla2[[#This Row],[FECHA]])</f>
        <v>30</v>
      </c>
      <c r="C91" s="137" t="s">
        <v>30</v>
      </c>
      <c r="D91" s="138"/>
      <c r="E91" s="139"/>
      <c r="F91" s="140"/>
      <c r="G91" s="141"/>
      <c r="H91" s="142"/>
      <c r="I91" s="290">
        <f>Tabla2[[#This Row],[VOLUMEN ENVIADO A RO (m3)]]/Tabla2[[#This Row],[Q DE OPERACIÓN (m3/h)]]</f>
        <v>7.4373166666666659</v>
      </c>
      <c r="J91" s="279">
        <v>0</v>
      </c>
      <c r="K91" s="280">
        <v>19</v>
      </c>
      <c r="L91" s="281">
        <v>3</v>
      </c>
      <c r="M91" s="280">
        <v>0</v>
      </c>
      <c r="N91" s="281">
        <v>0</v>
      </c>
      <c r="O91" s="192">
        <v>0</v>
      </c>
      <c r="P91" s="193">
        <v>166.66666666666669</v>
      </c>
      <c r="Q91" s="193">
        <v>26.315789473684212</v>
      </c>
      <c r="R91" s="193">
        <v>0</v>
      </c>
      <c r="S91" s="193">
        <v>0</v>
      </c>
      <c r="T91" s="184">
        <v>0</v>
      </c>
      <c r="U91" s="185">
        <v>0</v>
      </c>
      <c r="V91" s="185">
        <v>0</v>
      </c>
      <c r="W91" s="185">
        <v>0</v>
      </c>
      <c r="X91" s="186">
        <v>0</v>
      </c>
      <c r="Y91" s="191">
        <v>1.18</v>
      </c>
      <c r="Z91" s="191">
        <v>1.28</v>
      </c>
      <c r="AA91" s="191">
        <v>1.2</v>
      </c>
      <c r="AB91" s="191">
        <v>1.53</v>
      </c>
      <c r="AC91" s="191">
        <v>1.2</v>
      </c>
      <c r="AD91" s="195">
        <v>0</v>
      </c>
      <c r="AE91" s="196">
        <v>0</v>
      </c>
      <c r="AF91" s="196">
        <v>0</v>
      </c>
      <c r="AG91" s="196">
        <v>0</v>
      </c>
      <c r="AH91" s="197">
        <v>0</v>
      </c>
      <c r="AI91" s="403">
        <v>446.23899999999998</v>
      </c>
      <c r="AJ91" s="310">
        <v>60</v>
      </c>
      <c r="AK91" s="128">
        <f t="shared" si="21"/>
        <v>0</v>
      </c>
      <c r="AL91" s="129">
        <f t="shared" si="22"/>
        <v>0</v>
      </c>
      <c r="AM91" s="129">
        <f t="shared" si="23"/>
        <v>0</v>
      </c>
      <c r="AN91" s="129">
        <f t="shared" si="24"/>
        <v>0</v>
      </c>
      <c r="AO91" s="130">
        <f t="shared" si="25"/>
        <v>0</v>
      </c>
      <c r="AP91" s="104">
        <f t="shared" si="30"/>
        <v>1550</v>
      </c>
      <c r="AQ91" s="105">
        <f t="shared" si="30"/>
        <v>19462</v>
      </c>
      <c r="AR91" s="105">
        <f t="shared" si="30"/>
        <v>36854</v>
      </c>
      <c r="AS91" s="105">
        <f t="shared" si="30"/>
        <v>1560</v>
      </c>
      <c r="AT91" s="106">
        <f t="shared" si="30"/>
        <v>3640</v>
      </c>
      <c r="AU91" s="107">
        <f t="shared" si="17"/>
        <v>0</v>
      </c>
      <c r="AV91" s="108">
        <f t="shared" si="27"/>
        <v>0</v>
      </c>
      <c r="AW91" s="108">
        <f t="shared" si="28"/>
        <v>0</v>
      </c>
      <c r="AX91" s="108">
        <f t="shared" si="18"/>
        <v>0</v>
      </c>
      <c r="AY91" s="109">
        <f t="shared" si="19"/>
        <v>40607.748999999996</v>
      </c>
      <c r="AZ91" s="107">
        <f t="shared" si="20"/>
        <v>40607.748999999996</v>
      </c>
      <c r="BA91" s="108">
        <v>1000</v>
      </c>
      <c r="BB91" s="108">
        <f t="shared" si="29"/>
        <v>91</v>
      </c>
      <c r="BC91" s="98"/>
      <c r="BD91" s="101"/>
    </row>
    <row r="92" spans="1:56" ht="15" thickBot="1" x14ac:dyDescent="0.35">
      <c r="A92" s="143">
        <f>+A91+1</f>
        <v>46022</v>
      </c>
      <c r="B92" s="208">
        <f>DAY(Tabla2[[#This Row],[FECHA]])</f>
        <v>31</v>
      </c>
      <c r="C92" s="152" t="s">
        <v>28</v>
      </c>
      <c r="D92" s="144"/>
      <c r="E92" s="145"/>
      <c r="F92" s="146"/>
      <c r="G92" s="146"/>
      <c r="H92" s="145"/>
      <c r="I92" s="290">
        <f>Tabla2[[#This Row],[VOLUMEN ENVIADO A RO (m3)]]/Tabla2[[#This Row],[Q DE OPERACIÓN (m3/h)]]</f>
        <v>8.4615384615384617</v>
      </c>
      <c r="J92" s="279">
        <v>0</v>
      </c>
      <c r="K92" s="280">
        <v>19</v>
      </c>
      <c r="L92" s="281">
        <v>3</v>
      </c>
      <c r="M92" s="280">
        <v>0</v>
      </c>
      <c r="N92" s="281">
        <v>0</v>
      </c>
      <c r="O92" s="198">
        <v>0</v>
      </c>
      <c r="P92" s="199">
        <v>166.66666666666669</v>
      </c>
      <c r="Q92" s="182">
        <v>26.315789473684212</v>
      </c>
      <c r="R92" s="199">
        <v>0</v>
      </c>
      <c r="S92" s="199">
        <v>0</v>
      </c>
      <c r="T92" s="184">
        <v>0</v>
      </c>
      <c r="U92" s="185">
        <v>0</v>
      </c>
      <c r="V92" s="185">
        <v>0</v>
      </c>
      <c r="W92" s="185">
        <v>0</v>
      </c>
      <c r="X92" s="186">
        <v>0</v>
      </c>
      <c r="Y92" s="191">
        <v>1.18</v>
      </c>
      <c r="Z92" s="191">
        <v>1.28</v>
      </c>
      <c r="AA92" s="191">
        <v>1.2</v>
      </c>
      <c r="AB92" s="191">
        <v>1.53</v>
      </c>
      <c r="AC92" s="191">
        <v>1.2</v>
      </c>
      <c r="AD92" s="200">
        <v>0</v>
      </c>
      <c r="AE92" s="201">
        <v>0</v>
      </c>
      <c r="AF92" s="201">
        <v>0</v>
      </c>
      <c r="AG92" s="201">
        <v>0</v>
      </c>
      <c r="AH92" s="202">
        <v>0</v>
      </c>
      <c r="AI92" s="401">
        <v>440</v>
      </c>
      <c r="AJ92" s="310">
        <v>52</v>
      </c>
      <c r="AK92" s="128">
        <f t="shared" si="21"/>
        <v>0</v>
      </c>
      <c r="AL92" s="129">
        <f t="shared" si="22"/>
        <v>0</v>
      </c>
      <c r="AM92" s="129">
        <f t="shared" si="23"/>
        <v>0</v>
      </c>
      <c r="AN92" s="129">
        <f t="shared" si="24"/>
        <v>0</v>
      </c>
      <c r="AO92" s="130">
        <f t="shared" si="25"/>
        <v>0</v>
      </c>
      <c r="AP92" s="104">
        <f t="shared" si="30"/>
        <v>1550</v>
      </c>
      <c r="AQ92" s="105">
        <f t="shared" si="30"/>
        <v>19462</v>
      </c>
      <c r="AR92" s="105">
        <f t="shared" si="30"/>
        <v>36854</v>
      </c>
      <c r="AS92" s="105">
        <f t="shared" si="30"/>
        <v>1560</v>
      </c>
      <c r="AT92" s="106">
        <f t="shared" si="30"/>
        <v>3640</v>
      </c>
      <c r="AU92" s="104">
        <f t="shared" si="17"/>
        <v>0</v>
      </c>
      <c r="AV92" s="105">
        <f t="shared" si="27"/>
        <v>0</v>
      </c>
      <c r="AW92" s="105">
        <f t="shared" si="28"/>
        <v>0</v>
      </c>
      <c r="AX92" s="105">
        <f t="shared" si="18"/>
        <v>0</v>
      </c>
      <c r="AY92" s="106">
        <f t="shared" si="19"/>
        <v>40040</v>
      </c>
      <c r="AZ92" s="104">
        <f t="shared" si="20"/>
        <v>40040</v>
      </c>
      <c r="BA92" s="105">
        <v>1000</v>
      </c>
      <c r="BB92" s="105">
        <f t="shared" si="29"/>
        <v>91</v>
      </c>
      <c r="BC92" s="99"/>
      <c r="BD92" s="100"/>
    </row>
    <row r="93" spans="1:56" ht="15" thickBot="1" x14ac:dyDescent="0.35">
      <c r="A93" s="147">
        <f>+A92</f>
        <v>46022</v>
      </c>
      <c r="B93" s="206">
        <f>DAY(Tabla2[[#This Row],[FECHA]])</f>
        <v>31</v>
      </c>
      <c r="C93" s="132" t="s">
        <v>29</v>
      </c>
      <c r="D93" s="133"/>
      <c r="E93" s="134"/>
      <c r="F93" s="135"/>
      <c r="G93" s="135"/>
      <c r="H93" s="134"/>
      <c r="I93" s="290">
        <f>Tabla2[[#This Row],[VOLUMEN ENVIADO A RO (m3)]]/Tabla2[[#This Row],[Q DE OPERACIÓN (m3/h)]]</f>
        <v>4.0967818181818183</v>
      </c>
      <c r="J93" s="279">
        <v>0</v>
      </c>
      <c r="K93" s="280">
        <v>19</v>
      </c>
      <c r="L93" s="281">
        <v>3</v>
      </c>
      <c r="M93" s="280">
        <v>0</v>
      </c>
      <c r="N93" s="281">
        <v>0</v>
      </c>
      <c r="O93" s="188">
        <v>0</v>
      </c>
      <c r="P93" s="189">
        <v>166.66666666666669</v>
      </c>
      <c r="Q93" s="189">
        <v>26.315789473684212</v>
      </c>
      <c r="R93" s="189">
        <v>0</v>
      </c>
      <c r="S93" s="189">
        <v>0</v>
      </c>
      <c r="T93" s="184">
        <v>0</v>
      </c>
      <c r="U93" s="185">
        <v>0</v>
      </c>
      <c r="V93" s="185">
        <v>0</v>
      </c>
      <c r="W93" s="185">
        <v>0</v>
      </c>
      <c r="X93" s="186">
        <v>0</v>
      </c>
      <c r="Y93" s="191">
        <v>1.18</v>
      </c>
      <c r="Z93" s="191">
        <v>1.28</v>
      </c>
      <c r="AA93" s="191">
        <v>1.2</v>
      </c>
      <c r="AB93" s="191">
        <v>1.53</v>
      </c>
      <c r="AC93" s="191">
        <v>1.2</v>
      </c>
      <c r="AD93" s="184">
        <v>0</v>
      </c>
      <c r="AE93" s="185">
        <v>0</v>
      </c>
      <c r="AF93" s="185">
        <v>0</v>
      </c>
      <c r="AG93" s="185">
        <v>0</v>
      </c>
      <c r="AH93" s="186">
        <v>0</v>
      </c>
      <c r="AI93" s="402">
        <v>225.32300000000001</v>
      </c>
      <c r="AJ93" s="310">
        <v>55</v>
      </c>
      <c r="AK93" s="128">
        <f t="shared" si="21"/>
        <v>0</v>
      </c>
      <c r="AL93" s="129">
        <f t="shared" si="22"/>
        <v>0</v>
      </c>
      <c r="AM93" s="129">
        <f t="shared" si="23"/>
        <v>0</v>
      </c>
      <c r="AN93" s="129">
        <f t="shared" si="24"/>
        <v>0</v>
      </c>
      <c r="AO93" s="130">
        <f t="shared" si="25"/>
        <v>0</v>
      </c>
      <c r="AP93" s="104">
        <f t="shared" si="30"/>
        <v>1550</v>
      </c>
      <c r="AQ93" s="105">
        <f t="shared" si="30"/>
        <v>19462</v>
      </c>
      <c r="AR93" s="105">
        <f t="shared" si="30"/>
        <v>36854</v>
      </c>
      <c r="AS93" s="105">
        <f t="shared" si="30"/>
        <v>1560</v>
      </c>
      <c r="AT93" s="106">
        <f t="shared" si="30"/>
        <v>3640</v>
      </c>
      <c r="AU93" s="104">
        <f t="shared" si="17"/>
        <v>0</v>
      </c>
      <c r="AV93" s="105">
        <f t="shared" si="27"/>
        <v>0</v>
      </c>
      <c r="AW93" s="105">
        <f t="shared" si="28"/>
        <v>0</v>
      </c>
      <c r="AX93" s="105">
        <f t="shared" si="18"/>
        <v>0</v>
      </c>
      <c r="AY93" s="106">
        <f t="shared" si="19"/>
        <v>20504.393000000004</v>
      </c>
      <c r="AZ93" s="104">
        <f t="shared" si="20"/>
        <v>20504.393000000004</v>
      </c>
      <c r="BA93" s="105">
        <v>1000</v>
      </c>
      <c r="BB93" s="105">
        <f t="shared" si="29"/>
        <v>91.000000000000014</v>
      </c>
      <c r="BC93" s="99"/>
      <c r="BD93" s="100"/>
    </row>
    <row r="94" spans="1:56" ht="15" thickBot="1" x14ac:dyDescent="0.35">
      <c r="A94" s="148">
        <f>+A93</f>
        <v>46022</v>
      </c>
      <c r="B94" s="207">
        <f>DAY(Tabla2[[#This Row],[FECHA]])</f>
        <v>31</v>
      </c>
      <c r="C94" s="137" t="s">
        <v>30</v>
      </c>
      <c r="D94" s="138"/>
      <c r="E94" s="139"/>
      <c r="F94" s="140"/>
      <c r="G94" s="141"/>
      <c r="H94" s="142"/>
      <c r="I94" s="290">
        <f>Tabla2[[#This Row],[VOLUMEN ENVIADO A RO (m3)]]/Tabla2[[#This Row],[Q DE OPERACIÓN (m3/h)]]</f>
        <v>0</v>
      </c>
      <c r="J94" s="279">
        <v>0</v>
      </c>
      <c r="K94" s="280">
        <v>19</v>
      </c>
      <c r="L94" s="281">
        <v>3</v>
      </c>
      <c r="M94" s="280">
        <v>0</v>
      </c>
      <c r="N94" s="281">
        <v>0</v>
      </c>
      <c r="O94" s="192">
        <v>0</v>
      </c>
      <c r="P94" s="193">
        <v>166.66666666666669</v>
      </c>
      <c r="Q94" s="193">
        <v>26.315789473684212</v>
      </c>
      <c r="R94" s="193">
        <v>0</v>
      </c>
      <c r="S94" s="193">
        <v>0</v>
      </c>
      <c r="T94" s="184">
        <v>0</v>
      </c>
      <c r="U94" s="185">
        <v>0</v>
      </c>
      <c r="V94" s="185">
        <v>0</v>
      </c>
      <c r="W94" s="185">
        <v>0</v>
      </c>
      <c r="X94" s="186">
        <v>0</v>
      </c>
      <c r="Y94" s="191">
        <v>1.18</v>
      </c>
      <c r="Z94" s="191">
        <v>1.28</v>
      </c>
      <c r="AA94" s="191">
        <v>1.2</v>
      </c>
      <c r="AB94" s="191">
        <v>1.53</v>
      </c>
      <c r="AC94" s="191">
        <v>1.2</v>
      </c>
      <c r="AD94" s="195">
        <v>0</v>
      </c>
      <c r="AE94" s="196">
        <v>0</v>
      </c>
      <c r="AF94" s="196">
        <v>0</v>
      </c>
      <c r="AG94" s="196">
        <v>0</v>
      </c>
      <c r="AH94" s="197">
        <v>0</v>
      </c>
      <c r="AI94" s="403">
        <v>0</v>
      </c>
      <c r="AJ94" s="310">
        <v>55</v>
      </c>
      <c r="AK94" s="128" t="e">
        <f t="shared" si="21"/>
        <v>#DIV/0!</v>
      </c>
      <c r="AL94" s="129" t="e">
        <f t="shared" si="22"/>
        <v>#DIV/0!</v>
      </c>
      <c r="AM94" s="129" t="e">
        <f t="shared" si="23"/>
        <v>#DIV/0!</v>
      </c>
      <c r="AN94" s="129" t="e">
        <f t="shared" si="24"/>
        <v>#DIV/0!</v>
      </c>
      <c r="AO94" s="130" t="e">
        <f t="shared" si="25"/>
        <v>#DIV/0!</v>
      </c>
      <c r="AP94" s="104">
        <f t="shared" si="30"/>
        <v>1550</v>
      </c>
      <c r="AQ94" s="105">
        <f t="shared" si="30"/>
        <v>19462</v>
      </c>
      <c r="AR94" s="105">
        <f t="shared" si="30"/>
        <v>36854</v>
      </c>
      <c r="AS94" s="105">
        <f t="shared" si="30"/>
        <v>1560</v>
      </c>
      <c r="AT94" s="106">
        <f t="shared" si="30"/>
        <v>3640</v>
      </c>
      <c r="AU94" s="107">
        <f t="shared" si="17"/>
        <v>0</v>
      </c>
      <c r="AV94" s="108">
        <f t="shared" si="27"/>
        <v>0</v>
      </c>
      <c r="AW94" s="108">
        <f t="shared" si="28"/>
        <v>0</v>
      </c>
      <c r="AX94" s="108">
        <f t="shared" si="18"/>
        <v>0</v>
      </c>
      <c r="AY94" s="109">
        <f t="shared" si="19"/>
        <v>0</v>
      </c>
      <c r="AZ94" s="107">
        <f t="shared" si="20"/>
        <v>0</v>
      </c>
      <c r="BA94" s="108">
        <v>1000</v>
      </c>
      <c r="BB94" s="108" t="e">
        <f t="shared" si="29"/>
        <v>#DIV/0!</v>
      </c>
      <c r="BC94" s="98"/>
      <c r="BD94" s="101"/>
    </row>
    <row r="95" spans="1:56" ht="15" thickBot="1" x14ac:dyDescent="0.35">
      <c r="A95" s="147"/>
      <c r="B95" s="206">
        <f>DAY(Tabla2[[#This Row],[FECHA]])</f>
        <v>0</v>
      </c>
      <c r="D95" s="133"/>
      <c r="E95" s="134"/>
      <c r="F95" s="135"/>
      <c r="I95" s="290">
        <f>Tabla2[[#This Row],[VOLUMEN ENVIADO A RO (m3)]]/Tabla2[[#This Row],[Q DE OPERACIÓN (m3/h)]]</f>
        <v>0</v>
      </c>
      <c r="J95" s="286">
        <v>0</v>
      </c>
      <c r="K95" s="287">
        <v>45</v>
      </c>
      <c r="L95" s="287">
        <v>37</v>
      </c>
      <c r="M95" s="287">
        <v>0</v>
      </c>
      <c r="N95" s="288">
        <v>0</v>
      </c>
      <c r="O95" s="188">
        <f t="shared" ref="O95" si="31">J95*(1000/114)</f>
        <v>0</v>
      </c>
      <c r="P95" s="189">
        <f t="shared" ref="P95" si="32">K95*(1000/114)</f>
        <v>394.73684210526318</v>
      </c>
      <c r="Q95" s="189">
        <f>L95*(1000/114)</f>
        <v>324.56140350877195</v>
      </c>
      <c r="R95" s="189">
        <f t="shared" ref="R95" si="33">M95*(1000/114)</f>
        <v>0</v>
      </c>
      <c r="S95" s="189">
        <f t="shared" ref="S95" si="34">N95*(1000/114)</f>
        <v>0</v>
      </c>
      <c r="T95" s="184">
        <f>O95-O96</f>
        <v>0</v>
      </c>
      <c r="U95" s="185">
        <f>P95-P96</f>
        <v>394.73684210526318</v>
      </c>
      <c r="V95" s="185">
        <f>Q95-Q96</f>
        <v>324.56140350877195</v>
      </c>
      <c r="W95" s="185">
        <f>R95-R96</f>
        <v>0</v>
      </c>
      <c r="X95" s="186">
        <f>S95-S96</f>
        <v>0</v>
      </c>
      <c r="Y95" s="191"/>
      <c r="Z95" s="191"/>
      <c r="AA95" s="191"/>
      <c r="AB95" s="191"/>
      <c r="AC95" s="191"/>
      <c r="AD95" s="184">
        <f t="shared" ref="AD95:AH95" si="35">T95*Y95</f>
        <v>0</v>
      </c>
      <c r="AE95" s="185">
        <f t="shared" si="35"/>
        <v>0</v>
      </c>
      <c r="AF95" s="185">
        <f t="shared" si="35"/>
        <v>0</v>
      </c>
      <c r="AG95" s="185">
        <f t="shared" si="35"/>
        <v>0</v>
      </c>
      <c r="AH95" s="186">
        <f t="shared" si="35"/>
        <v>0</v>
      </c>
      <c r="AI95" s="184"/>
      <c r="AJ95" s="310">
        <v>55</v>
      </c>
      <c r="AK95" s="128" t="e">
        <f t="shared" si="21"/>
        <v>#DIV/0!</v>
      </c>
      <c r="AL95" s="129" t="e">
        <f t="shared" si="22"/>
        <v>#DIV/0!</v>
      </c>
      <c r="AM95" s="129" t="e">
        <f t="shared" si="23"/>
        <v>#DIV/0!</v>
      </c>
      <c r="AN95" s="129" t="e">
        <f t="shared" si="24"/>
        <v>#DIV/0!</v>
      </c>
      <c r="AO95" s="130" t="e">
        <f t="shared" si="25"/>
        <v>#DIV/0!</v>
      </c>
      <c r="AP95" s="104">
        <f t="shared" si="30"/>
        <v>1550</v>
      </c>
      <c r="AQ95" s="289">
        <f t="shared" si="30"/>
        <v>19462</v>
      </c>
      <c r="AR95" s="289">
        <f t="shared" si="30"/>
        <v>36854</v>
      </c>
      <c r="AS95" s="289">
        <f t="shared" si="30"/>
        <v>1560</v>
      </c>
      <c r="AT95" s="106">
        <f t="shared" si="30"/>
        <v>3640</v>
      </c>
      <c r="AU95" s="104">
        <f t="shared" si="17"/>
        <v>0</v>
      </c>
      <c r="AV95" s="289">
        <f t="shared" si="27"/>
        <v>0</v>
      </c>
      <c r="AW95" s="289">
        <f t="shared" si="28"/>
        <v>0</v>
      </c>
      <c r="AX95" s="289">
        <f t="shared" si="18"/>
        <v>0</v>
      </c>
      <c r="AY95" s="106">
        <f t="shared" si="19"/>
        <v>0</v>
      </c>
      <c r="AZ95" s="104">
        <f t="shared" si="20"/>
        <v>0</v>
      </c>
      <c r="BA95" s="289"/>
      <c r="BB95" s="289" t="e">
        <f t="shared" si="29"/>
        <v>#DIV/0!</v>
      </c>
    </row>
    <row r="96" spans="1:56" ht="15" thickBot="1" x14ac:dyDescent="0.35">
      <c r="A96" s="252"/>
      <c r="B96" s="253"/>
      <c r="D96" s="254"/>
      <c r="E96" s="255"/>
      <c r="F96" s="354"/>
      <c r="I96" s="256"/>
      <c r="J96" s="282"/>
      <c r="K96" s="283"/>
      <c r="L96" s="283"/>
      <c r="M96" s="283"/>
      <c r="N96" s="284"/>
      <c r="O96" s="192">
        <f>J96*(1000/114)</f>
        <v>0</v>
      </c>
      <c r="P96" s="193">
        <f>K96*(1000/114)</f>
        <v>0</v>
      </c>
      <c r="Q96" s="193">
        <f>L96*(1000/114)</f>
        <v>0</v>
      </c>
      <c r="R96" s="193">
        <f>M96*(1000/114)</f>
        <v>0</v>
      </c>
      <c r="S96" s="193">
        <f>N96*(1000/114)</f>
        <v>0</v>
      </c>
      <c r="T96" s="184"/>
      <c r="U96" s="185"/>
      <c r="V96" s="185"/>
      <c r="W96" s="185"/>
      <c r="X96" s="186"/>
      <c r="Y96" s="257"/>
      <c r="Z96" s="257"/>
      <c r="AA96" s="257"/>
      <c r="AB96" s="257"/>
      <c r="AC96" s="257"/>
      <c r="AD96" s="184"/>
      <c r="AE96" s="185"/>
      <c r="AF96" s="185"/>
      <c r="AG96" s="185"/>
      <c r="AH96" s="186"/>
      <c r="AI96" s="184"/>
      <c r="AJ96" s="184"/>
      <c r="AK96" s="128"/>
      <c r="AL96" s="129"/>
      <c r="AM96" s="129"/>
      <c r="AN96" s="129"/>
      <c r="AO96" s="130"/>
      <c r="AP96" s="263"/>
      <c r="AQ96" s="264"/>
      <c r="AR96" s="264"/>
      <c r="AS96" s="264"/>
      <c r="AT96" s="265"/>
      <c r="AU96" s="263"/>
      <c r="AV96" s="264"/>
      <c r="AW96" s="264"/>
      <c r="AX96" s="264"/>
      <c r="AY96" s="265"/>
      <c r="AZ96" s="263">
        <f>SUM(AZ2:AZ94)</f>
        <v>2936226.5235263156</v>
      </c>
      <c r="BA96" s="264"/>
      <c r="BB96" s="264"/>
    </row>
    <row r="97" spans="35:35" x14ac:dyDescent="0.3">
      <c r="AI97" s="70">
        <f>+SUM(AI2:AI94)</f>
        <v>14633.578999999998</v>
      </c>
    </row>
  </sheetData>
  <conditionalFormatting sqref="J2:N95">
    <cfRule type="containsBlanks" dxfId="1" priority="2">
      <formula>LEN(TRIM(J2))=0</formula>
    </cfRule>
  </conditionalFormatting>
  <conditionalFormatting sqref="T1:X1048576">
    <cfRule type="cellIs" dxfId="0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dimension ref="A1:AH35"/>
  <sheetViews>
    <sheetView workbookViewId="0">
      <selection activeCell="A28" sqref="A24:A28"/>
      <pivotSelection pane="bottomRight" showHeader="1" axis="axisRow" activeRow="27" previousRow="27" click="1" r:id="rId1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4" x14ac:dyDescent="0.3"/>
  <cols>
    <col min="1" max="1" width="41" bestFit="1" customWidth="1"/>
    <col min="2" max="2" width="8.33203125" bestFit="1" customWidth="1"/>
    <col min="3" max="7" width="5.6640625" customWidth="1"/>
    <col min="8" max="12" width="8.33203125" bestFit="1" customWidth="1"/>
    <col min="13" max="30" width="5.6640625" customWidth="1"/>
    <col min="31" max="31" width="8.77734375" bestFit="1" customWidth="1"/>
    <col min="32" max="32" width="12.6640625" bestFit="1" customWidth="1"/>
    <col min="33" max="150" width="41.109375" bestFit="1" customWidth="1"/>
    <col min="151" max="151" width="29" bestFit="1" customWidth="1"/>
    <col min="152" max="153" width="46.109375" bestFit="1" customWidth="1"/>
    <col min="154" max="154" width="45" bestFit="1" customWidth="1"/>
    <col min="155" max="155" width="36.21875" bestFit="1" customWidth="1"/>
    <col min="156" max="156" width="37.109375" bestFit="1" customWidth="1"/>
    <col min="157" max="158" width="52.88671875" bestFit="1" customWidth="1"/>
    <col min="159" max="159" width="51.6640625" bestFit="1" customWidth="1"/>
    <col min="160" max="160" width="43" bestFit="1" customWidth="1"/>
  </cols>
  <sheetData>
    <row r="1" spans="1:34" ht="15" thickBot="1" x14ac:dyDescent="0.35">
      <c r="A1" s="673" t="s">
        <v>160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  <c r="AA1" s="673"/>
      <c r="AB1" s="673"/>
      <c r="AC1" s="673"/>
      <c r="AD1" s="673"/>
      <c r="AE1" s="673"/>
      <c r="AF1" s="673"/>
    </row>
    <row r="2" spans="1:34" ht="15" thickBot="1" x14ac:dyDescent="0.35">
      <c r="A2" s="667" t="s">
        <v>5</v>
      </c>
      <c r="B2" s="668"/>
      <c r="C2" s="669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4" ht="15" thickBot="1" x14ac:dyDescent="0.35">
      <c r="A3" s="525"/>
      <c r="B3" s="525" t="s">
        <v>79</v>
      </c>
      <c r="C3" s="520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2"/>
    </row>
    <row r="4" spans="1:34" ht="15" thickBot="1" x14ac:dyDescent="0.35">
      <c r="A4" s="525" t="s">
        <v>154</v>
      </c>
      <c r="B4" s="539">
        <v>1</v>
      </c>
      <c r="C4" s="540">
        <v>2</v>
      </c>
      <c r="D4" s="540">
        <v>3</v>
      </c>
      <c r="E4" s="540">
        <v>4</v>
      </c>
      <c r="F4" s="540">
        <v>5</v>
      </c>
      <c r="G4" s="540">
        <v>6</v>
      </c>
      <c r="H4" s="540">
        <v>7</v>
      </c>
      <c r="I4" s="540">
        <v>8</v>
      </c>
      <c r="J4" s="540">
        <v>9</v>
      </c>
      <c r="K4" s="540">
        <v>10</v>
      </c>
      <c r="L4" s="540">
        <v>11</v>
      </c>
      <c r="M4" s="540">
        <v>12</v>
      </c>
      <c r="N4" s="540">
        <v>13</v>
      </c>
      <c r="O4" s="540">
        <v>14</v>
      </c>
      <c r="P4" s="540">
        <v>15</v>
      </c>
      <c r="Q4" s="540">
        <v>16</v>
      </c>
      <c r="R4" s="540">
        <v>17</v>
      </c>
      <c r="S4" s="540">
        <v>18</v>
      </c>
      <c r="T4" s="540">
        <v>19</v>
      </c>
      <c r="U4" s="540">
        <v>20</v>
      </c>
      <c r="V4" s="540">
        <v>21</v>
      </c>
      <c r="W4" s="540">
        <v>22</v>
      </c>
      <c r="X4" s="540">
        <v>23</v>
      </c>
      <c r="Y4" s="540">
        <v>24</v>
      </c>
      <c r="Z4" s="540">
        <v>25</v>
      </c>
      <c r="AA4" s="540">
        <v>26</v>
      </c>
      <c r="AB4" s="540">
        <v>27</v>
      </c>
      <c r="AC4" s="540">
        <v>28</v>
      </c>
      <c r="AD4" s="540">
        <v>29</v>
      </c>
      <c r="AE4" s="540">
        <v>30</v>
      </c>
      <c r="AF4" s="540">
        <v>31</v>
      </c>
      <c r="AG4" s="541">
        <v>0</v>
      </c>
      <c r="AH4" s="542" t="s">
        <v>72</v>
      </c>
    </row>
    <row r="5" spans="1:34" x14ac:dyDescent="0.3">
      <c r="A5" s="536" t="s">
        <v>149</v>
      </c>
      <c r="B5" s="93">
        <v>0</v>
      </c>
      <c r="C5" s="468">
        <v>0</v>
      </c>
      <c r="D5" s="565">
        <v>0</v>
      </c>
      <c r="E5" s="565">
        <v>0</v>
      </c>
      <c r="F5" s="565">
        <v>0</v>
      </c>
      <c r="G5" s="565">
        <v>0</v>
      </c>
      <c r="H5" s="565">
        <v>0</v>
      </c>
      <c r="I5" s="565">
        <v>0</v>
      </c>
      <c r="J5" s="565">
        <v>0</v>
      </c>
      <c r="K5" s="565">
        <v>0</v>
      </c>
      <c r="L5" s="565">
        <v>0</v>
      </c>
      <c r="M5" s="565">
        <v>0</v>
      </c>
      <c r="N5" s="565">
        <v>0</v>
      </c>
      <c r="O5" s="565">
        <v>0</v>
      </c>
      <c r="P5" s="565">
        <v>0</v>
      </c>
      <c r="Q5" s="565">
        <v>0</v>
      </c>
      <c r="R5" s="565">
        <v>0</v>
      </c>
      <c r="S5" s="565">
        <v>0</v>
      </c>
      <c r="T5" s="565">
        <v>0</v>
      </c>
      <c r="U5" s="565">
        <v>0</v>
      </c>
      <c r="V5" s="565">
        <v>0</v>
      </c>
      <c r="W5" s="565">
        <v>0</v>
      </c>
      <c r="X5" s="565">
        <v>0</v>
      </c>
      <c r="Y5" s="565">
        <v>0</v>
      </c>
      <c r="Z5" s="565">
        <v>0</v>
      </c>
      <c r="AA5" s="565">
        <v>0</v>
      </c>
      <c r="AB5" s="565">
        <v>0</v>
      </c>
      <c r="AC5" s="565">
        <v>0</v>
      </c>
      <c r="AD5" s="565">
        <v>0</v>
      </c>
      <c r="AE5" s="565">
        <v>0</v>
      </c>
      <c r="AF5" s="468">
        <v>0</v>
      </c>
      <c r="AG5" s="468">
        <v>0</v>
      </c>
      <c r="AH5" s="523">
        <v>0</v>
      </c>
    </row>
    <row r="6" spans="1:34" x14ac:dyDescent="0.3">
      <c r="A6" s="537" t="s">
        <v>150</v>
      </c>
      <c r="B6" s="95">
        <v>0</v>
      </c>
      <c r="C6" s="89">
        <v>0</v>
      </c>
      <c r="D6" s="567">
        <v>0</v>
      </c>
      <c r="E6" s="567">
        <v>0</v>
      </c>
      <c r="F6" s="567">
        <v>0</v>
      </c>
      <c r="G6" s="567">
        <v>17.543859649122794</v>
      </c>
      <c r="H6" s="567">
        <v>70.175438596491233</v>
      </c>
      <c r="I6" s="567">
        <v>17.543859649122794</v>
      </c>
      <c r="J6" s="567">
        <v>307.01754385964915</v>
      </c>
      <c r="K6" s="567">
        <v>0</v>
      </c>
      <c r="L6" s="567">
        <v>0</v>
      </c>
      <c r="M6" s="567">
        <v>20</v>
      </c>
      <c r="N6" s="567">
        <v>70.175438596491148</v>
      </c>
      <c r="O6" s="567">
        <v>106.49122807017545</v>
      </c>
      <c r="P6" s="567">
        <v>96.491228070175453</v>
      </c>
      <c r="Q6" s="567">
        <v>52.631578947368439</v>
      </c>
      <c r="R6" s="567">
        <v>35.087719298245588</v>
      </c>
      <c r="S6" s="567">
        <v>0</v>
      </c>
      <c r="T6" s="567">
        <v>0</v>
      </c>
      <c r="U6" s="567">
        <v>0</v>
      </c>
      <c r="V6" s="567">
        <v>26.31578947368422</v>
      </c>
      <c r="W6" s="567">
        <v>0</v>
      </c>
      <c r="X6" s="567">
        <v>0</v>
      </c>
      <c r="Y6" s="567">
        <v>0</v>
      </c>
      <c r="Z6" s="567">
        <v>0</v>
      </c>
      <c r="AA6" s="567">
        <v>0</v>
      </c>
      <c r="AB6" s="567">
        <v>0</v>
      </c>
      <c r="AC6" s="567">
        <v>0</v>
      </c>
      <c r="AD6" s="567">
        <v>0</v>
      </c>
      <c r="AE6" s="567">
        <v>0</v>
      </c>
      <c r="AF6" s="89">
        <v>0</v>
      </c>
      <c r="AG6" s="89">
        <v>394.73684210526318</v>
      </c>
      <c r="AH6" s="524">
        <v>1214.2105263157894</v>
      </c>
    </row>
    <row r="7" spans="1:34" x14ac:dyDescent="0.3">
      <c r="A7" s="537" t="s">
        <v>151</v>
      </c>
      <c r="B7" s="95">
        <v>0</v>
      </c>
      <c r="C7" s="89">
        <v>0</v>
      </c>
      <c r="D7" s="567">
        <v>0</v>
      </c>
      <c r="E7" s="567">
        <v>0</v>
      </c>
      <c r="F7" s="567">
        <v>0</v>
      </c>
      <c r="G7" s="567">
        <v>0</v>
      </c>
      <c r="H7" s="567">
        <v>71.929824561403507</v>
      </c>
      <c r="I7" s="567">
        <v>35.087719298245588</v>
      </c>
      <c r="J7" s="567">
        <v>17.543859649122851</v>
      </c>
      <c r="K7" s="567">
        <v>35.087719298245588</v>
      </c>
      <c r="L7" s="567">
        <v>377.19298245614038</v>
      </c>
      <c r="M7" s="567">
        <v>30</v>
      </c>
      <c r="N7" s="567">
        <v>70.175438596491148</v>
      </c>
      <c r="O7" s="567">
        <v>201.75438596491233</v>
      </c>
      <c r="P7" s="567">
        <v>140.35087719298244</v>
      </c>
      <c r="Q7" s="567">
        <v>70.175438596491233</v>
      </c>
      <c r="R7" s="567">
        <v>17.543859649122808</v>
      </c>
      <c r="S7" s="567">
        <v>17.543859649122808</v>
      </c>
      <c r="T7" s="567">
        <v>0</v>
      </c>
      <c r="U7" s="567">
        <v>0</v>
      </c>
      <c r="V7" s="567">
        <v>0</v>
      </c>
      <c r="W7" s="567">
        <v>0</v>
      </c>
      <c r="X7" s="567">
        <v>0</v>
      </c>
      <c r="Y7" s="567">
        <v>0</v>
      </c>
      <c r="Z7" s="567">
        <v>0</v>
      </c>
      <c r="AA7" s="567">
        <v>0</v>
      </c>
      <c r="AB7" s="567">
        <v>0</v>
      </c>
      <c r="AC7" s="567">
        <v>0</v>
      </c>
      <c r="AD7" s="567">
        <v>0</v>
      </c>
      <c r="AE7" s="567">
        <v>0</v>
      </c>
      <c r="AF7" s="89">
        <v>0</v>
      </c>
      <c r="AG7" s="89">
        <v>324.56140350877195</v>
      </c>
      <c r="AH7" s="524">
        <v>1408.9473684210527</v>
      </c>
    </row>
    <row r="8" spans="1:34" x14ac:dyDescent="0.3">
      <c r="A8" s="537" t="s">
        <v>152</v>
      </c>
      <c r="B8" s="95">
        <v>0</v>
      </c>
      <c r="C8" s="89">
        <v>0</v>
      </c>
      <c r="D8" s="567">
        <v>0</v>
      </c>
      <c r="E8" s="567">
        <v>0</v>
      </c>
      <c r="F8" s="567">
        <v>0</v>
      </c>
      <c r="G8" s="567">
        <v>0</v>
      </c>
      <c r="H8" s="567">
        <v>0</v>
      </c>
      <c r="I8" s="567">
        <v>0</v>
      </c>
      <c r="J8" s="567">
        <v>0</v>
      </c>
      <c r="K8" s="567">
        <v>0</v>
      </c>
      <c r="L8" s="567">
        <v>0</v>
      </c>
      <c r="M8" s="567">
        <v>0</v>
      </c>
      <c r="N8" s="567">
        <v>0</v>
      </c>
      <c r="O8" s="567">
        <v>0</v>
      </c>
      <c r="P8" s="567">
        <v>0</v>
      </c>
      <c r="Q8" s="567">
        <v>0</v>
      </c>
      <c r="R8" s="567">
        <v>0</v>
      </c>
      <c r="S8" s="567">
        <v>0</v>
      </c>
      <c r="T8" s="567">
        <v>0</v>
      </c>
      <c r="U8" s="567">
        <v>0</v>
      </c>
      <c r="V8" s="567">
        <v>0</v>
      </c>
      <c r="W8" s="567">
        <v>0</v>
      </c>
      <c r="X8" s="567">
        <v>0</v>
      </c>
      <c r="Y8" s="567">
        <v>0</v>
      </c>
      <c r="Z8" s="567">
        <v>0</v>
      </c>
      <c r="AA8" s="567">
        <v>0</v>
      </c>
      <c r="AB8" s="567">
        <v>0</v>
      </c>
      <c r="AC8" s="567">
        <v>0</v>
      </c>
      <c r="AD8" s="567">
        <v>0</v>
      </c>
      <c r="AE8" s="567">
        <v>0</v>
      </c>
      <c r="AF8" s="89">
        <v>0</v>
      </c>
      <c r="AG8" s="89">
        <v>0</v>
      </c>
      <c r="AH8" s="524">
        <v>0</v>
      </c>
    </row>
    <row r="9" spans="1:34" ht="15" thickBot="1" x14ac:dyDescent="0.35">
      <c r="A9" s="538" t="s">
        <v>153</v>
      </c>
      <c r="B9" s="92">
        <v>0</v>
      </c>
      <c r="C9" s="470">
        <v>0</v>
      </c>
      <c r="D9" s="568">
        <v>0</v>
      </c>
      <c r="E9" s="568">
        <v>0</v>
      </c>
      <c r="F9" s="568">
        <v>0</v>
      </c>
      <c r="G9" s="568">
        <v>0</v>
      </c>
      <c r="H9" s="568">
        <v>0</v>
      </c>
      <c r="I9" s="568">
        <v>0</v>
      </c>
      <c r="J9" s="568">
        <v>0</v>
      </c>
      <c r="K9" s="568">
        <v>0</v>
      </c>
      <c r="L9" s="568">
        <v>0</v>
      </c>
      <c r="M9" s="568">
        <v>0</v>
      </c>
      <c r="N9" s="568">
        <v>0</v>
      </c>
      <c r="O9" s="568">
        <v>0</v>
      </c>
      <c r="P9" s="568">
        <v>0</v>
      </c>
      <c r="Q9" s="568">
        <v>0</v>
      </c>
      <c r="R9" s="568">
        <v>0</v>
      </c>
      <c r="S9" s="568">
        <v>0</v>
      </c>
      <c r="T9" s="568">
        <v>0</v>
      </c>
      <c r="U9" s="568">
        <v>0</v>
      </c>
      <c r="V9" s="568">
        <v>0</v>
      </c>
      <c r="W9" s="568">
        <v>0</v>
      </c>
      <c r="X9" s="568">
        <v>0</v>
      </c>
      <c r="Y9" s="568">
        <v>0</v>
      </c>
      <c r="Z9" s="568">
        <v>0</v>
      </c>
      <c r="AA9" s="568">
        <v>0</v>
      </c>
      <c r="AB9" s="568">
        <v>0</v>
      </c>
      <c r="AC9" s="568">
        <v>0</v>
      </c>
      <c r="AD9" s="568">
        <v>0</v>
      </c>
      <c r="AE9" s="568">
        <v>0</v>
      </c>
      <c r="AF9" s="470">
        <v>0</v>
      </c>
      <c r="AG9" s="470">
        <v>0</v>
      </c>
      <c r="AH9" s="569">
        <v>0</v>
      </c>
    </row>
    <row r="10" spans="1:34" ht="15" thickBo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4" ht="15" thickBot="1" x14ac:dyDescent="0.35">
      <c r="A11" s="670" t="s">
        <v>4</v>
      </c>
      <c r="B11" s="671"/>
      <c r="C11" s="672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4" ht="15" thickBot="1" x14ac:dyDescent="0.35">
      <c r="A12" s="517"/>
      <c r="B12" s="517" t="s">
        <v>79</v>
      </c>
      <c r="C12" s="530"/>
      <c r="D12" s="516"/>
      <c r="E12" s="516"/>
      <c r="F12" s="516"/>
      <c r="G12" s="516"/>
      <c r="H12" s="516"/>
      <c r="I12" s="516"/>
      <c r="J12" s="516"/>
      <c r="K12" s="516"/>
      <c r="L12" s="516"/>
      <c r="M12" s="516"/>
      <c r="N12" s="516"/>
      <c r="O12" s="516"/>
      <c r="P12" s="516"/>
      <c r="Q12" s="516"/>
      <c r="R12" s="516"/>
      <c r="S12" s="516"/>
      <c r="T12" s="516"/>
      <c r="U12" s="516"/>
      <c r="V12" s="516"/>
      <c r="W12" s="516"/>
      <c r="X12" s="516"/>
      <c r="Y12" s="516"/>
      <c r="Z12" s="516"/>
      <c r="AA12" s="516"/>
      <c r="AB12" s="516"/>
      <c r="AC12" s="516"/>
      <c r="AD12" s="516"/>
      <c r="AE12" s="516"/>
      <c r="AF12" s="516"/>
      <c r="AG12" s="516"/>
      <c r="AH12" s="531"/>
    </row>
    <row r="13" spans="1:34" ht="15" thickBot="1" x14ac:dyDescent="0.35">
      <c r="A13" s="517" t="s">
        <v>154</v>
      </c>
      <c r="B13" s="535">
        <v>1</v>
      </c>
      <c r="C13" s="535">
        <v>2</v>
      </c>
      <c r="D13" s="535">
        <v>3</v>
      </c>
      <c r="E13" s="535">
        <v>4</v>
      </c>
      <c r="F13" s="535">
        <v>5</v>
      </c>
      <c r="G13" s="535">
        <v>6</v>
      </c>
      <c r="H13" s="535">
        <v>7</v>
      </c>
      <c r="I13" s="535">
        <v>8</v>
      </c>
      <c r="J13" s="535">
        <v>9</v>
      </c>
      <c r="K13" s="535">
        <v>10</v>
      </c>
      <c r="L13" s="535">
        <v>11</v>
      </c>
      <c r="M13" s="535">
        <v>12</v>
      </c>
      <c r="N13" s="535">
        <v>13</v>
      </c>
      <c r="O13" s="535">
        <v>14</v>
      </c>
      <c r="P13" s="535">
        <v>15</v>
      </c>
      <c r="Q13" s="535">
        <v>16</v>
      </c>
      <c r="R13" s="535">
        <v>17</v>
      </c>
      <c r="S13" s="535">
        <v>18</v>
      </c>
      <c r="T13" s="535">
        <v>19</v>
      </c>
      <c r="U13" s="535">
        <v>20</v>
      </c>
      <c r="V13" s="535">
        <v>21</v>
      </c>
      <c r="W13" s="535">
        <v>22</v>
      </c>
      <c r="X13" s="535">
        <v>23</v>
      </c>
      <c r="Y13" s="535">
        <v>24</v>
      </c>
      <c r="Z13" s="535">
        <v>25</v>
      </c>
      <c r="AA13" s="535">
        <v>26</v>
      </c>
      <c r="AB13" s="535">
        <v>27</v>
      </c>
      <c r="AC13" s="535">
        <v>28</v>
      </c>
      <c r="AD13" s="535">
        <v>29</v>
      </c>
      <c r="AE13" s="535">
        <v>30</v>
      </c>
      <c r="AF13" s="535">
        <v>31</v>
      </c>
      <c r="AG13" s="535">
        <v>0</v>
      </c>
      <c r="AH13" s="535" t="s">
        <v>72</v>
      </c>
    </row>
    <row r="14" spans="1:34" x14ac:dyDescent="0.3">
      <c r="A14" s="532" t="s">
        <v>155</v>
      </c>
      <c r="B14" s="463">
        <v>0</v>
      </c>
      <c r="C14" s="464">
        <v>0</v>
      </c>
      <c r="D14" s="526">
        <v>0</v>
      </c>
      <c r="E14" s="526">
        <v>0</v>
      </c>
      <c r="F14" s="526">
        <v>0</v>
      </c>
      <c r="G14" s="526">
        <v>0</v>
      </c>
      <c r="H14" s="526">
        <v>0</v>
      </c>
      <c r="I14" s="526">
        <v>0</v>
      </c>
      <c r="J14" s="526">
        <v>0</v>
      </c>
      <c r="K14" s="526">
        <v>0</v>
      </c>
      <c r="L14" s="526">
        <v>0</v>
      </c>
      <c r="M14" s="526">
        <v>0</v>
      </c>
      <c r="N14" s="526">
        <v>0</v>
      </c>
      <c r="O14" s="526">
        <v>0</v>
      </c>
      <c r="P14" s="526">
        <v>0</v>
      </c>
      <c r="Q14" s="526">
        <v>0</v>
      </c>
      <c r="R14" s="526">
        <v>0</v>
      </c>
      <c r="S14" s="526">
        <v>0</v>
      </c>
      <c r="T14" s="526">
        <v>0</v>
      </c>
      <c r="U14" s="526">
        <v>0</v>
      </c>
      <c r="V14" s="526">
        <v>0</v>
      </c>
      <c r="W14" s="526">
        <v>0</v>
      </c>
      <c r="X14" s="526">
        <v>0</v>
      </c>
      <c r="Y14" s="526">
        <v>0</v>
      </c>
      <c r="Z14" s="526">
        <v>0</v>
      </c>
      <c r="AA14" s="526">
        <v>0</v>
      </c>
      <c r="AB14" s="526">
        <v>0</v>
      </c>
      <c r="AC14" s="526">
        <v>0</v>
      </c>
      <c r="AD14" s="526">
        <v>0</v>
      </c>
      <c r="AE14" s="526">
        <v>0</v>
      </c>
      <c r="AF14" s="464">
        <v>0</v>
      </c>
      <c r="AG14" s="464">
        <v>0</v>
      </c>
      <c r="AH14" s="527">
        <v>0</v>
      </c>
    </row>
    <row r="15" spans="1:34" x14ac:dyDescent="0.3">
      <c r="A15" s="533" t="s">
        <v>156</v>
      </c>
      <c r="B15" s="474">
        <v>0</v>
      </c>
      <c r="C15" s="85">
        <v>0</v>
      </c>
      <c r="D15" s="90">
        <v>0</v>
      </c>
      <c r="E15" s="90">
        <v>0</v>
      </c>
      <c r="F15" s="90">
        <v>0</v>
      </c>
      <c r="G15" s="90">
        <v>22.456140350877178</v>
      </c>
      <c r="H15" s="90">
        <v>89.824561403508781</v>
      </c>
      <c r="I15" s="90">
        <v>22.456140350877178</v>
      </c>
      <c r="J15" s="90">
        <v>392.98245614035091</v>
      </c>
      <c r="K15" s="90">
        <v>0</v>
      </c>
      <c r="L15" s="90">
        <v>0</v>
      </c>
      <c r="M15" s="90">
        <v>25.6</v>
      </c>
      <c r="N15" s="90">
        <v>89.824561403508682</v>
      </c>
      <c r="O15" s="90">
        <v>136.30877192982459</v>
      </c>
      <c r="P15" s="90">
        <v>123.50877192982458</v>
      </c>
      <c r="Q15" s="90">
        <v>67.368421052631604</v>
      </c>
      <c r="R15" s="90">
        <v>44.912280701754355</v>
      </c>
      <c r="S15" s="90">
        <v>0</v>
      </c>
      <c r="T15" s="90">
        <v>0</v>
      </c>
      <c r="U15" s="90">
        <v>0</v>
      </c>
      <c r="V15" s="90">
        <v>33.684210526315802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85">
        <v>0</v>
      </c>
      <c r="AG15" s="85">
        <v>0</v>
      </c>
      <c r="AH15" s="528">
        <v>1048.9263157894736</v>
      </c>
    </row>
    <row r="16" spans="1:34" x14ac:dyDescent="0.3">
      <c r="A16" s="533" t="s">
        <v>157</v>
      </c>
      <c r="B16" s="474">
        <v>0</v>
      </c>
      <c r="C16" s="85">
        <v>0</v>
      </c>
      <c r="D16" s="90">
        <v>0</v>
      </c>
      <c r="E16" s="90">
        <v>0</v>
      </c>
      <c r="F16" s="90">
        <v>0</v>
      </c>
      <c r="G16" s="90">
        <v>0</v>
      </c>
      <c r="H16" s="90">
        <v>86.315789473684205</v>
      </c>
      <c r="I16" s="90">
        <v>42.105263157894704</v>
      </c>
      <c r="J16" s="90">
        <v>21.05263157894742</v>
      </c>
      <c r="K16" s="90">
        <v>42.105263157894704</v>
      </c>
      <c r="L16" s="90">
        <v>452.63157894736844</v>
      </c>
      <c r="M16" s="90">
        <v>36</v>
      </c>
      <c r="N16" s="90">
        <v>84.21052631578938</v>
      </c>
      <c r="O16" s="90">
        <v>242.1052631578948</v>
      </c>
      <c r="P16" s="90">
        <v>168.42105263157893</v>
      </c>
      <c r="Q16" s="90">
        <v>84.21052631578948</v>
      </c>
      <c r="R16" s="90">
        <v>21.05263157894737</v>
      </c>
      <c r="S16" s="90">
        <v>21.05263157894737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85">
        <v>0</v>
      </c>
      <c r="AG16" s="85">
        <v>0</v>
      </c>
      <c r="AH16" s="528">
        <v>1301.2631578947367</v>
      </c>
    </row>
    <row r="17" spans="1:34" x14ac:dyDescent="0.3">
      <c r="A17" s="533" t="s">
        <v>158</v>
      </c>
      <c r="B17" s="474">
        <v>0</v>
      </c>
      <c r="C17" s="85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85">
        <v>0</v>
      </c>
      <c r="AG17" s="85">
        <v>0</v>
      </c>
      <c r="AH17" s="528">
        <v>0</v>
      </c>
    </row>
    <row r="18" spans="1:34" ht="15" thickBot="1" x14ac:dyDescent="0.35">
      <c r="A18" s="534" t="s">
        <v>159</v>
      </c>
      <c r="B18" s="466">
        <v>0</v>
      </c>
      <c r="C18" s="467">
        <v>0</v>
      </c>
      <c r="D18" s="519">
        <v>0</v>
      </c>
      <c r="E18" s="519">
        <v>0</v>
      </c>
      <c r="F18" s="519">
        <v>0</v>
      </c>
      <c r="G18" s="519">
        <v>0</v>
      </c>
      <c r="H18" s="519">
        <v>0</v>
      </c>
      <c r="I18" s="519">
        <v>0</v>
      </c>
      <c r="J18" s="519">
        <v>0</v>
      </c>
      <c r="K18" s="519">
        <v>0</v>
      </c>
      <c r="L18" s="519">
        <v>0</v>
      </c>
      <c r="M18" s="519">
        <v>0</v>
      </c>
      <c r="N18" s="519">
        <v>0</v>
      </c>
      <c r="O18" s="519">
        <v>0</v>
      </c>
      <c r="P18" s="519">
        <v>0</v>
      </c>
      <c r="Q18" s="519">
        <v>0</v>
      </c>
      <c r="R18" s="519">
        <v>0</v>
      </c>
      <c r="S18" s="519">
        <v>0</v>
      </c>
      <c r="T18" s="519">
        <v>0</v>
      </c>
      <c r="U18" s="519">
        <v>0</v>
      </c>
      <c r="V18" s="519">
        <v>0</v>
      </c>
      <c r="W18" s="519">
        <v>0</v>
      </c>
      <c r="X18" s="519">
        <v>0</v>
      </c>
      <c r="Y18" s="519">
        <v>0</v>
      </c>
      <c r="Z18" s="519">
        <v>0</v>
      </c>
      <c r="AA18" s="519">
        <v>0</v>
      </c>
      <c r="AB18" s="519">
        <v>0</v>
      </c>
      <c r="AC18" s="519">
        <v>0</v>
      </c>
      <c r="AD18" s="519">
        <v>0</v>
      </c>
      <c r="AE18" s="519">
        <v>0</v>
      </c>
      <c r="AF18" s="467">
        <v>0</v>
      </c>
      <c r="AG18" s="467">
        <v>0</v>
      </c>
      <c r="AH18" s="529">
        <v>0</v>
      </c>
    </row>
    <row r="19" spans="1:34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4" ht="15" thickBot="1" x14ac:dyDescent="0.3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4" ht="15" thickBot="1" x14ac:dyDescent="0.35">
      <c r="A21" s="675" t="s">
        <v>182</v>
      </c>
      <c r="B21" s="676"/>
      <c r="C21" s="677"/>
    </row>
    <row r="22" spans="1:34" ht="15" thickBot="1" x14ac:dyDescent="0.35">
      <c r="A22" s="555"/>
      <c r="B22" s="555" t="s">
        <v>79</v>
      </c>
      <c r="C22" s="556"/>
      <c r="D22" s="557"/>
      <c r="E22" s="557"/>
      <c r="F22" s="557"/>
      <c r="G22" s="557"/>
      <c r="H22" s="557"/>
      <c r="I22" s="557"/>
      <c r="J22" s="557"/>
      <c r="K22" s="557"/>
      <c r="L22" s="557"/>
      <c r="M22" s="557"/>
      <c r="N22" s="557"/>
      <c r="O22" s="557"/>
      <c r="P22" s="557"/>
      <c r="Q22" s="557"/>
      <c r="R22" s="557"/>
      <c r="S22" s="557"/>
      <c r="T22" s="557"/>
      <c r="U22" s="557"/>
      <c r="V22" s="557"/>
      <c r="W22" s="557"/>
      <c r="X22" s="557"/>
      <c r="Y22" s="557"/>
      <c r="Z22" s="557"/>
      <c r="AA22" s="557"/>
      <c r="AB22" s="557"/>
      <c r="AC22" s="557"/>
      <c r="AD22" s="557"/>
      <c r="AE22" s="557"/>
      <c r="AF22" s="557"/>
      <c r="AG22" s="557"/>
      <c r="AH22" s="558"/>
    </row>
    <row r="23" spans="1:34" ht="15" thickBot="1" x14ac:dyDescent="0.35">
      <c r="A23" s="555" t="s">
        <v>154</v>
      </c>
      <c r="B23" s="559">
        <v>1</v>
      </c>
      <c r="C23" s="559">
        <v>2</v>
      </c>
      <c r="D23" s="559">
        <v>3</v>
      </c>
      <c r="E23" s="559">
        <v>4</v>
      </c>
      <c r="F23" s="559">
        <v>5</v>
      </c>
      <c r="G23" s="559">
        <v>6</v>
      </c>
      <c r="H23" s="559">
        <v>7</v>
      </c>
      <c r="I23" s="559">
        <v>8</v>
      </c>
      <c r="J23" s="559">
        <v>9</v>
      </c>
      <c r="K23" s="559">
        <v>10</v>
      </c>
      <c r="L23" s="559">
        <v>11</v>
      </c>
      <c r="M23" s="559">
        <v>12</v>
      </c>
      <c r="N23" s="559">
        <v>13</v>
      </c>
      <c r="O23" s="559">
        <v>14</v>
      </c>
      <c r="P23" s="559">
        <v>15</v>
      </c>
      <c r="Q23" s="559">
        <v>16</v>
      </c>
      <c r="R23" s="559">
        <v>17</v>
      </c>
      <c r="S23" s="559">
        <v>18</v>
      </c>
      <c r="T23" s="559">
        <v>19</v>
      </c>
      <c r="U23" s="559">
        <v>20</v>
      </c>
      <c r="V23" s="559">
        <v>21</v>
      </c>
      <c r="W23" s="559">
        <v>22</v>
      </c>
      <c r="X23" s="559">
        <v>23</v>
      </c>
      <c r="Y23" s="559">
        <v>24</v>
      </c>
      <c r="Z23" s="559">
        <v>25</v>
      </c>
      <c r="AA23" s="559">
        <v>26</v>
      </c>
      <c r="AB23" s="559">
        <v>27</v>
      </c>
      <c r="AC23" s="559">
        <v>28</v>
      </c>
      <c r="AD23" s="559">
        <v>29</v>
      </c>
      <c r="AE23" s="559">
        <v>30</v>
      </c>
      <c r="AF23" s="559">
        <v>31</v>
      </c>
      <c r="AG23" s="559">
        <v>0</v>
      </c>
      <c r="AH23" s="559" t="s">
        <v>72</v>
      </c>
    </row>
    <row r="24" spans="1:34" x14ac:dyDescent="0.3">
      <c r="A24" s="227" t="s">
        <v>183</v>
      </c>
      <c r="B24" s="463" t="e">
        <v>#DIV/0!</v>
      </c>
      <c r="C24" s="464">
        <v>0</v>
      </c>
      <c r="D24" s="526" t="e">
        <v>#DIV/0!</v>
      </c>
      <c r="E24" s="526" t="e">
        <v>#DIV/0!</v>
      </c>
      <c r="F24" s="526">
        <v>0</v>
      </c>
      <c r="G24" s="526">
        <v>0</v>
      </c>
      <c r="H24" s="526">
        <v>0</v>
      </c>
      <c r="I24" s="526">
        <v>0</v>
      </c>
      <c r="J24" s="526">
        <v>0</v>
      </c>
      <c r="K24" s="526">
        <v>0</v>
      </c>
      <c r="L24" s="526" t="e">
        <v>#DIV/0!</v>
      </c>
      <c r="M24" s="526" t="e">
        <v>#DIV/0!</v>
      </c>
      <c r="N24" s="526">
        <v>0</v>
      </c>
      <c r="O24" s="526">
        <v>0</v>
      </c>
      <c r="P24" s="526">
        <v>0</v>
      </c>
      <c r="Q24" s="526">
        <v>0</v>
      </c>
      <c r="R24" s="526">
        <v>0</v>
      </c>
      <c r="S24" s="526" t="e">
        <v>#DIV/0!</v>
      </c>
      <c r="T24" s="526">
        <v>0</v>
      </c>
      <c r="U24" s="526">
        <v>0</v>
      </c>
      <c r="V24" s="526">
        <v>0</v>
      </c>
      <c r="W24" s="526">
        <v>0</v>
      </c>
      <c r="X24" s="526">
        <v>0</v>
      </c>
      <c r="Y24" s="526" t="e">
        <v>#DIV/0!</v>
      </c>
      <c r="Z24" s="526" t="e">
        <v>#DIV/0!</v>
      </c>
      <c r="AA24" s="526">
        <v>0</v>
      </c>
      <c r="AB24" s="526">
        <v>0</v>
      </c>
      <c r="AC24" s="526">
        <v>0</v>
      </c>
      <c r="AD24" s="526">
        <v>0</v>
      </c>
      <c r="AE24" s="526">
        <v>0</v>
      </c>
      <c r="AF24" s="464">
        <v>0</v>
      </c>
      <c r="AG24" s="464" t="e">
        <v>#DIV/0!</v>
      </c>
      <c r="AH24" s="527">
        <v>0</v>
      </c>
    </row>
    <row r="25" spans="1:34" x14ac:dyDescent="0.3">
      <c r="A25" s="227" t="s">
        <v>185</v>
      </c>
      <c r="B25" s="474" t="e">
        <v>#DIV/0!</v>
      </c>
      <c r="C25" s="85">
        <v>0</v>
      </c>
      <c r="D25" s="90" t="e">
        <v>#DIV/0!</v>
      </c>
      <c r="E25" s="90" t="e">
        <v>#DIV/0!</v>
      </c>
      <c r="F25" s="90">
        <v>0</v>
      </c>
      <c r="G25" s="90">
        <v>38.729569660320166</v>
      </c>
      <c r="H25" s="90">
        <v>306.02639489610135</v>
      </c>
      <c r="I25" s="90">
        <v>40.056045918748907</v>
      </c>
      <c r="J25" s="90">
        <v>1134.9051059735375</v>
      </c>
      <c r="K25" s="90">
        <v>0</v>
      </c>
      <c r="L25" s="90" t="e">
        <v>#DIV/0!</v>
      </c>
      <c r="M25" s="90" t="e">
        <v>#DIV/0!</v>
      </c>
      <c r="N25" s="90">
        <v>585.55013235491504</v>
      </c>
      <c r="O25" s="90">
        <v>146.02247929766375</v>
      </c>
      <c r="P25" s="90">
        <v>91.864760822592061</v>
      </c>
      <c r="Q25" s="90">
        <v>80.08104702465441</v>
      </c>
      <c r="R25" s="90">
        <v>96.949161374605737</v>
      </c>
      <c r="S25" s="90" t="e">
        <v>#DIV/0!</v>
      </c>
      <c r="T25" s="90">
        <v>0</v>
      </c>
      <c r="U25" s="90">
        <v>0</v>
      </c>
      <c r="V25" s="90">
        <v>37.112884346684226</v>
      </c>
      <c r="W25" s="90">
        <v>0</v>
      </c>
      <c r="X25" s="90">
        <v>0</v>
      </c>
      <c r="Y25" s="90" t="e">
        <v>#DIV/0!</v>
      </c>
      <c r="Z25" s="90" t="e">
        <v>#DIV/0!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85">
        <v>0</v>
      </c>
      <c r="AG25" s="85" t="e">
        <v>#DIV/0!</v>
      </c>
      <c r="AH25" s="528">
        <v>71.679410470225633</v>
      </c>
    </row>
    <row r="26" spans="1:34" x14ac:dyDescent="0.3">
      <c r="A26" s="227" t="s">
        <v>186</v>
      </c>
      <c r="B26" s="474" t="e">
        <v>#DIV/0!</v>
      </c>
      <c r="C26" s="85">
        <v>0</v>
      </c>
      <c r="D26" s="90" t="e">
        <v>#DIV/0!</v>
      </c>
      <c r="E26" s="90" t="e">
        <v>#DIV/0!</v>
      </c>
      <c r="F26" s="90">
        <v>0</v>
      </c>
      <c r="G26" s="90">
        <v>0</v>
      </c>
      <c r="H26" s="90">
        <v>294.07223884547233</v>
      </c>
      <c r="I26" s="90">
        <v>75.105086097654194</v>
      </c>
      <c r="J26" s="90">
        <v>60.79848782001109</v>
      </c>
      <c r="K26" s="90">
        <v>164.04626678885364</v>
      </c>
      <c r="L26" s="90" t="e">
        <v>#DIV/0!</v>
      </c>
      <c r="M26" s="90" t="e">
        <v>#DIV/0!</v>
      </c>
      <c r="N26" s="90">
        <v>548.9532490827329</v>
      </c>
      <c r="O26" s="90">
        <v>259.35829570476733</v>
      </c>
      <c r="P26" s="90">
        <v>125.27012839444369</v>
      </c>
      <c r="Q26" s="90">
        <v>100.10130878081799</v>
      </c>
      <c r="R26" s="90">
        <v>45.444919394346478</v>
      </c>
      <c r="S26" s="90" t="e">
        <v>#DIV/0!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 t="e">
        <v>#DIV/0!</v>
      </c>
      <c r="Z26" s="90" t="e">
        <v>#DIV/0!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85">
        <v>0</v>
      </c>
      <c r="AG26" s="85" t="e">
        <v>#DIV/0!</v>
      </c>
      <c r="AH26" s="528">
        <v>88.923096523054042</v>
      </c>
    </row>
    <row r="27" spans="1:34" x14ac:dyDescent="0.3">
      <c r="A27" s="227" t="s">
        <v>187</v>
      </c>
      <c r="B27" s="474" t="e">
        <v>#NAME?</v>
      </c>
      <c r="C27" s="85" t="e">
        <v>#NAME?</v>
      </c>
      <c r="D27" s="90" t="e">
        <v>#NAME?</v>
      </c>
      <c r="E27" s="90" t="e">
        <v>#NAME?</v>
      </c>
      <c r="F27" s="90" t="e">
        <v>#NAME?</v>
      </c>
      <c r="G27" s="90" t="e">
        <v>#NAME?</v>
      </c>
      <c r="H27" s="90" t="e">
        <v>#NAME?</v>
      </c>
      <c r="I27" s="90" t="e">
        <v>#NAME?</v>
      </c>
      <c r="J27" s="90" t="e">
        <v>#NAME?</v>
      </c>
      <c r="K27" s="90" t="e">
        <v>#NAME?</v>
      </c>
      <c r="L27" s="90" t="e">
        <v>#NAME?</v>
      </c>
      <c r="M27" s="90" t="e">
        <v>#NAME?</v>
      </c>
      <c r="N27" s="90" t="e">
        <v>#NAME?</v>
      </c>
      <c r="O27" s="90" t="e">
        <v>#NAME?</v>
      </c>
      <c r="P27" s="90" t="e">
        <v>#NAME?</v>
      </c>
      <c r="Q27" s="90" t="e">
        <v>#NAME?</v>
      </c>
      <c r="R27" s="90" t="e">
        <v>#NAME?</v>
      </c>
      <c r="S27" s="90" t="e">
        <v>#NAME?</v>
      </c>
      <c r="T27" s="90" t="e">
        <v>#NAME?</v>
      </c>
      <c r="U27" s="90" t="e">
        <v>#NAME?</v>
      </c>
      <c r="V27" s="90" t="e">
        <v>#NAME?</v>
      </c>
      <c r="W27" s="90" t="e">
        <v>#NAME?</v>
      </c>
      <c r="X27" s="90" t="e">
        <v>#NAME?</v>
      </c>
      <c r="Y27" s="90" t="e">
        <v>#NAME?</v>
      </c>
      <c r="Z27" s="90" t="e">
        <v>#NAME?</v>
      </c>
      <c r="AA27" s="90" t="e">
        <v>#NAME?</v>
      </c>
      <c r="AB27" s="90" t="e">
        <v>#NAME?</v>
      </c>
      <c r="AC27" s="90" t="e">
        <v>#NAME?</v>
      </c>
      <c r="AD27" s="90" t="e">
        <v>#NAME?</v>
      </c>
      <c r="AE27" s="90" t="e">
        <v>#NAME?</v>
      </c>
      <c r="AF27" s="85" t="e">
        <v>#NAME?</v>
      </c>
      <c r="AG27" s="85" t="e">
        <v>#NAME?</v>
      </c>
      <c r="AH27" s="528" t="e">
        <v>#NAME?</v>
      </c>
    </row>
    <row r="28" spans="1:34" ht="15" thickBot="1" x14ac:dyDescent="0.35">
      <c r="A28" s="552" t="s">
        <v>188</v>
      </c>
      <c r="B28" s="466" t="e">
        <v>#DIV/0!</v>
      </c>
      <c r="C28" s="467">
        <v>0</v>
      </c>
      <c r="D28" s="519" t="e">
        <v>#DIV/0!</v>
      </c>
      <c r="E28" s="519" t="e">
        <v>#DIV/0!</v>
      </c>
      <c r="F28" s="519">
        <v>0</v>
      </c>
      <c r="G28" s="519">
        <v>0</v>
      </c>
      <c r="H28" s="519">
        <v>0</v>
      </c>
      <c r="I28" s="519">
        <v>0</v>
      </c>
      <c r="J28" s="519">
        <v>0</v>
      </c>
      <c r="K28" s="519">
        <v>0</v>
      </c>
      <c r="L28" s="519" t="e">
        <v>#DIV/0!</v>
      </c>
      <c r="M28" s="519" t="e">
        <v>#DIV/0!</v>
      </c>
      <c r="N28" s="519">
        <v>0</v>
      </c>
      <c r="O28" s="519">
        <v>0</v>
      </c>
      <c r="P28" s="519">
        <v>0</v>
      </c>
      <c r="Q28" s="519">
        <v>0</v>
      </c>
      <c r="R28" s="519">
        <v>0</v>
      </c>
      <c r="S28" s="519" t="e">
        <v>#DIV/0!</v>
      </c>
      <c r="T28" s="519">
        <v>0</v>
      </c>
      <c r="U28" s="519">
        <v>0</v>
      </c>
      <c r="V28" s="519">
        <v>0</v>
      </c>
      <c r="W28" s="519">
        <v>0</v>
      </c>
      <c r="X28" s="519">
        <v>0</v>
      </c>
      <c r="Y28" s="519" t="e">
        <v>#DIV/0!</v>
      </c>
      <c r="Z28" s="519" t="e">
        <v>#DIV/0!</v>
      </c>
      <c r="AA28" s="519">
        <v>0</v>
      </c>
      <c r="AB28" s="519">
        <v>0</v>
      </c>
      <c r="AC28" s="519">
        <v>0</v>
      </c>
      <c r="AD28" s="519">
        <v>0</v>
      </c>
      <c r="AE28" s="519">
        <v>0</v>
      </c>
      <c r="AF28" s="467">
        <v>0</v>
      </c>
      <c r="AG28" s="467" t="e">
        <v>#DIV/0!</v>
      </c>
      <c r="AH28" s="529">
        <v>0</v>
      </c>
    </row>
    <row r="30" spans="1:34" ht="15" thickBot="1" x14ac:dyDescent="0.35"/>
    <row r="31" spans="1:34" ht="15" thickBot="1" x14ac:dyDescent="0.35">
      <c r="A31" s="674" t="s">
        <v>31</v>
      </c>
      <c r="B31" s="626"/>
      <c r="C31" s="627"/>
    </row>
    <row r="32" spans="1:34" ht="15" thickBot="1" x14ac:dyDescent="0.35">
      <c r="A32" s="543"/>
      <c r="B32" s="544" t="s">
        <v>79</v>
      </c>
      <c r="C32" s="545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46"/>
      <c r="P32" s="546"/>
      <c r="Q32" s="546"/>
      <c r="R32" s="546"/>
      <c r="S32" s="546"/>
      <c r="T32" s="546"/>
      <c r="U32" s="546"/>
      <c r="V32" s="546"/>
      <c r="W32" s="546"/>
      <c r="X32" s="546"/>
      <c r="Y32" s="546"/>
      <c r="Z32" s="546"/>
      <c r="AA32" s="546"/>
      <c r="AB32" s="546"/>
      <c r="AC32" s="546"/>
      <c r="AD32" s="546"/>
      <c r="AE32" s="546"/>
      <c r="AF32" s="546"/>
      <c r="AG32" s="546"/>
      <c r="AH32" s="547"/>
    </row>
    <row r="33" spans="1:34" ht="15" thickBot="1" x14ac:dyDescent="0.35">
      <c r="A33" s="543"/>
      <c r="B33" s="549">
        <v>1</v>
      </c>
      <c r="C33" s="550">
        <v>2</v>
      </c>
      <c r="D33" s="550">
        <v>3</v>
      </c>
      <c r="E33" s="550">
        <v>4</v>
      </c>
      <c r="F33" s="550">
        <v>5</v>
      </c>
      <c r="G33" s="550">
        <v>6</v>
      </c>
      <c r="H33" s="550">
        <v>7</v>
      </c>
      <c r="I33" s="550">
        <v>8</v>
      </c>
      <c r="J33" s="550">
        <v>9</v>
      </c>
      <c r="K33" s="550">
        <v>10</v>
      </c>
      <c r="L33" s="550">
        <v>11</v>
      </c>
      <c r="M33" s="550">
        <v>12</v>
      </c>
      <c r="N33" s="550">
        <v>13</v>
      </c>
      <c r="O33" s="550">
        <v>14</v>
      </c>
      <c r="P33" s="550">
        <v>15</v>
      </c>
      <c r="Q33" s="550">
        <v>16</v>
      </c>
      <c r="R33" s="550">
        <v>17</v>
      </c>
      <c r="S33" s="550">
        <v>18</v>
      </c>
      <c r="T33" s="550">
        <v>19</v>
      </c>
      <c r="U33" s="550">
        <v>20</v>
      </c>
      <c r="V33" s="550">
        <v>21</v>
      </c>
      <c r="W33" s="550">
        <v>22</v>
      </c>
      <c r="X33" s="550">
        <v>23</v>
      </c>
      <c r="Y33" s="550">
        <v>24</v>
      </c>
      <c r="Z33" s="550">
        <v>25</v>
      </c>
      <c r="AA33" s="550">
        <v>26</v>
      </c>
      <c r="AB33" s="550">
        <v>27</v>
      </c>
      <c r="AC33" s="550">
        <v>28</v>
      </c>
      <c r="AD33" s="550">
        <v>29</v>
      </c>
      <c r="AE33" s="550">
        <v>30</v>
      </c>
      <c r="AF33" s="550">
        <v>31</v>
      </c>
      <c r="AG33" s="551">
        <v>0</v>
      </c>
      <c r="AH33" s="548" t="s">
        <v>72</v>
      </c>
    </row>
    <row r="34" spans="1:34" s="135" customFormat="1" ht="15" thickBot="1" x14ac:dyDescent="0.35">
      <c r="A34" s="586" t="s">
        <v>184</v>
      </c>
      <c r="B34" s="583">
        <v>0</v>
      </c>
      <c r="C34" s="584">
        <v>4.680890909090909</v>
      </c>
      <c r="D34" s="584">
        <v>0</v>
      </c>
      <c r="E34" s="584">
        <v>0</v>
      </c>
      <c r="F34" s="584">
        <v>5.0586000000000002</v>
      </c>
      <c r="G34" s="584">
        <v>10.542163636363636</v>
      </c>
      <c r="H34" s="584">
        <v>5.3367090909090908</v>
      </c>
      <c r="I34" s="584">
        <v>10.193054545454546</v>
      </c>
      <c r="J34" s="584">
        <v>6.2957999999999998</v>
      </c>
      <c r="K34" s="584">
        <v>4.6666727272727275</v>
      </c>
      <c r="L34" s="584">
        <v>0</v>
      </c>
      <c r="M34" s="584">
        <v>0</v>
      </c>
      <c r="N34" s="584">
        <v>2.7891272727272725</v>
      </c>
      <c r="O34" s="584">
        <v>16.972327272727274</v>
      </c>
      <c r="P34" s="584">
        <v>24.44478181818182</v>
      </c>
      <c r="Q34" s="584">
        <v>15.295509090909091</v>
      </c>
      <c r="R34" s="584">
        <v>8.4228363636363639</v>
      </c>
      <c r="S34" s="584">
        <v>0</v>
      </c>
      <c r="T34" s="584">
        <v>4.6788181818181815</v>
      </c>
      <c r="U34" s="584">
        <v>10.85</v>
      </c>
      <c r="V34" s="584">
        <v>16.502090909090906</v>
      </c>
      <c r="W34" s="584">
        <v>15.981109090909092</v>
      </c>
      <c r="X34" s="584">
        <v>10.476927272727274</v>
      </c>
      <c r="Y34" s="584">
        <v>0</v>
      </c>
      <c r="Z34" s="584">
        <v>0</v>
      </c>
      <c r="AA34" s="584">
        <v>6.3159999999999989</v>
      </c>
      <c r="AB34" s="584">
        <v>9.6972424242424253</v>
      </c>
      <c r="AC34" s="584">
        <v>15.983692307692307</v>
      </c>
      <c r="AD34" s="584">
        <v>18.728119268600253</v>
      </c>
      <c r="AE34" s="584">
        <v>20.952616666666664</v>
      </c>
      <c r="AF34" s="584">
        <v>12.558320279720281</v>
      </c>
      <c r="AG34" s="584">
        <v>0</v>
      </c>
      <c r="AH34" s="585">
        <v>257.4234091287401</v>
      </c>
    </row>
    <row r="35" spans="1:34" s="258" customFormat="1" ht="15" thickBot="1" x14ac:dyDescent="0.35">
      <c r="A35" s="260" t="s">
        <v>189</v>
      </c>
      <c r="B35" s="261">
        <f>B34/60</f>
        <v>0</v>
      </c>
      <c r="C35" s="261">
        <f t="shared" ref="C35:AE35" si="0">C34/60</f>
        <v>7.8014848484848479E-2</v>
      </c>
      <c r="D35" s="261">
        <f t="shared" si="0"/>
        <v>0</v>
      </c>
      <c r="E35" s="261">
        <f t="shared" si="0"/>
        <v>0</v>
      </c>
      <c r="F35" s="261">
        <f t="shared" si="0"/>
        <v>8.431000000000001E-2</v>
      </c>
      <c r="G35" s="261">
        <f t="shared" si="0"/>
        <v>0.17570272727272726</v>
      </c>
      <c r="H35" s="261">
        <f t="shared" si="0"/>
        <v>8.8945151515151519E-2</v>
      </c>
      <c r="I35" s="261">
        <f t="shared" si="0"/>
        <v>0.16988424242424244</v>
      </c>
      <c r="J35" s="261">
        <f t="shared" si="0"/>
        <v>0.10493</v>
      </c>
      <c r="K35" s="261">
        <f t="shared" si="0"/>
        <v>7.7777878787878799E-2</v>
      </c>
      <c r="L35" s="261">
        <f t="shared" si="0"/>
        <v>0</v>
      </c>
      <c r="M35" s="261">
        <f t="shared" si="0"/>
        <v>0</v>
      </c>
      <c r="N35" s="261">
        <f t="shared" si="0"/>
        <v>4.6485454545454538E-2</v>
      </c>
      <c r="O35" s="261">
        <f t="shared" si="0"/>
        <v>0.28287212121212124</v>
      </c>
      <c r="P35" s="261">
        <f t="shared" si="0"/>
        <v>0.40741303030303033</v>
      </c>
      <c r="Q35" s="261">
        <f t="shared" si="0"/>
        <v>0.25492515151515149</v>
      </c>
      <c r="R35" s="261">
        <f t="shared" si="0"/>
        <v>0.14038060606060607</v>
      </c>
      <c r="S35" s="261">
        <f t="shared" si="0"/>
        <v>0</v>
      </c>
      <c r="T35" s="261">
        <f t="shared" si="0"/>
        <v>7.7980303030303025E-2</v>
      </c>
      <c r="U35" s="261">
        <f t="shared" si="0"/>
        <v>0.18083333333333332</v>
      </c>
      <c r="V35" s="261">
        <f t="shared" si="0"/>
        <v>0.27503484848484844</v>
      </c>
      <c r="W35" s="261">
        <f t="shared" si="0"/>
        <v>0.26635181818181819</v>
      </c>
      <c r="X35" s="261">
        <f t="shared" si="0"/>
        <v>0.17461545454545455</v>
      </c>
      <c r="Y35" s="261">
        <f t="shared" si="0"/>
        <v>0</v>
      </c>
      <c r="Z35" s="261">
        <f t="shared" si="0"/>
        <v>0</v>
      </c>
      <c r="AA35" s="261">
        <f t="shared" si="0"/>
        <v>0.10526666666666665</v>
      </c>
      <c r="AB35" s="261">
        <f t="shared" si="0"/>
        <v>0.16162070707070708</v>
      </c>
      <c r="AC35" s="261">
        <f t="shared" si="0"/>
        <v>0.26639487179487176</v>
      </c>
      <c r="AD35" s="261">
        <f t="shared" si="0"/>
        <v>0.31213532114333753</v>
      </c>
      <c r="AE35" s="261">
        <f t="shared" si="0"/>
        <v>0.34921027777777774</v>
      </c>
      <c r="AF35" s="262"/>
      <c r="AG35" s="259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4" x14ac:dyDescent="0.3"/>
  <cols>
    <col min="1" max="1" width="0.33203125" customWidth="1"/>
    <col min="2" max="2" width="35.77734375" bestFit="1" customWidth="1"/>
    <col min="3" max="3" width="12.21875" style="70" customWidth="1"/>
    <col min="4" max="4" width="18" customWidth="1"/>
    <col min="5" max="5" width="18.109375" bestFit="1" customWidth="1"/>
    <col min="6" max="6" width="16.21875" bestFit="1" customWidth="1"/>
    <col min="7" max="7" width="12.21875" customWidth="1"/>
    <col min="8" max="8" width="4.77734375" customWidth="1"/>
    <col min="9" max="9" width="35.77734375" bestFit="1" customWidth="1"/>
    <col min="11" max="12" width="8.6640625" customWidth="1"/>
    <col min="13" max="14" width="9.33203125" customWidth="1"/>
    <col min="15" max="16" width="9.109375" customWidth="1"/>
    <col min="17" max="18" width="8.6640625" customWidth="1"/>
    <col min="19" max="19" width="9.88671875" customWidth="1"/>
    <col min="20" max="20" width="9.33203125" customWidth="1"/>
  </cols>
  <sheetData>
    <row r="1" spans="2:19" ht="18" customHeight="1" thickBot="1" x14ac:dyDescent="0.4">
      <c r="I1" s="689" t="s">
        <v>162</v>
      </c>
      <c r="J1" s="689"/>
      <c r="K1" s="689"/>
      <c r="L1" s="689"/>
      <c r="M1" s="689"/>
      <c r="N1" s="689"/>
      <c r="O1" s="689"/>
      <c r="P1" s="689"/>
      <c r="Q1" s="689"/>
      <c r="R1" s="689"/>
    </row>
    <row r="2" spans="2:19" ht="43.5" customHeight="1" thickBot="1" x14ac:dyDescent="0.35">
      <c r="B2" s="684" t="s">
        <v>33</v>
      </c>
      <c r="C2" s="248" t="s">
        <v>12</v>
      </c>
      <c r="D2" s="225" t="s">
        <v>14</v>
      </c>
      <c r="E2" s="226" t="s">
        <v>35</v>
      </c>
      <c r="F2" s="223" t="s">
        <v>18</v>
      </c>
      <c r="G2" s="221" t="s">
        <v>13</v>
      </c>
      <c r="H2" s="30"/>
      <c r="I2" s="684" t="s">
        <v>32</v>
      </c>
      <c r="J2" s="698" t="s">
        <v>12</v>
      </c>
      <c r="K2" s="700" t="s">
        <v>14</v>
      </c>
      <c r="L2" s="701"/>
      <c r="M2" s="702" t="s">
        <v>34</v>
      </c>
      <c r="N2" s="703"/>
      <c r="O2" s="704" t="s">
        <v>36</v>
      </c>
      <c r="P2" s="705"/>
      <c r="Q2" s="696" t="s">
        <v>13</v>
      </c>
      <c r="R2" s="697"/>
    </row>
    <row r="3" spans="2:19" ht="15" thickBot="1" x14ac:dyDescent="0.35">
      <c r="B3" s="685"/>
      <c r="C3" s="222"/>
      <c r="D3" s="235" t="s">
        <v>11</v>
      </c>
      <c r="E3" s="236" t="s">
        <v>11</v>
      </c>
      <c r="F3" s="48" t="s">
        <v>11</v>
      </c>
      <c r="G3" s="49" t="s">
        <v>11</v>
      </c>
      <c r="H3" s="30"/>
      <c r="I3" s="685"/>
      <c r="J3" s="699"/>
      <c r="K3" s="212" t="s">
        <v>10</v>
      </c>
      <c r="L3" s="213" t="s">
        <v>11</v>
      </c>
      <c r="M3" s="214" t="s">
        <v>10</v>
      </c>
      <c r="N3" s="215" t="s">
        <v>11</v>
      </c>
      <c r="O3" s="216" t="s">
        <v>10</v>
      </c>
      <c r="P3" s="217" t="s">
        <v>11</v>
      </c>
      <c r="Q3" s="218" t="s">
        <v>10</v>
      </c>
      <c r="R3" s="219" t="s">
        <v>11</v>
      </c>
    </row>
    <row r="4" spans="2:19" ht="15" thickBot="1" x14ac:dyDescent="0.35">
      <c r="B4" s="3" t="s">
        <v>149</v>
      </c>
      <c r="C4" s="2">
        <v>1.24</v>
      </c>
      <c r="D4" s="46">
        <v>440</v>
      </c>
      <c r="E4" s="237">
        <f>C23+D23+E23+F23</f>
        <v>0</v>
      </c>
      <c r="F4" s="239">
        <f>+C14+D14+E14+F14</f>
        <v>0</v>
      </c>
      <c r="G4" s="239">
        <f>(D4+F4)-E4</f>
        <v>440</v>
      </c>
      <c r="H4" s="30"/>
      <c r="I4" s="3" t="s">
        <v>149</v>
      </c>
      <c r="J4" s="2">
        <v>1.24</v>
      </c>
      <c r="K4" s="46">
        <v>184.21052631578948</v>
      </c>
      <c r="L4" s="46">
        <f>K4*J4</f>
        <v>228.42105263157896</v>
      </c>
      <c r="M4" s="93">
        <f>GETPIVOTDATA(" CONSUMO (L) HCL (10%)",'CONSUMO QUÍMICA - CAUDALES RO'!$A3)</f>
        <v>0</v>
      </c>
      <c r="N4" s="209" t="e">
        <f>SUM(#REF!)</f>
        <v>#REF!</v>
      </c>
      <c r="O4" s="93">
        <f>J14+L14+N14</f>
        <v>360</v>
      </c>
      <c r="P4" s="209"/>
      <c r="Q4" s="50">
        <f>(K4+O4)-M4</f>
        <v>544.21052631578948</v>
      </c>
      <c r="R4" s="51">
        <f>Q4*J4</f>
        <v>674.82105263157894</v>
      </c>
    </row>
    <row r="5" spans="2:19" ht="15.75" customHeight="1" thickBot="1" x14ac:dyDescent="0.35">
      <c r="B5" s="5" t="s">
        <v>150</v>
      </c>
      <c r="C5" s="2">
        <v>1.29</v>
      </c>
      <c r="D5" s="46">
        <v>170</v>
      </c>
      <c r="E5" s="237">
        <f>C24+D24+E24+F24</f>
        <v>0</v>
      </c>
      <c r="F5" s="237">
        <f>+C15+D15+E15+F15</f>
        <v>700</v>
      </c>
      <c r="G5" s="237">
        <f>(D5+F5)-E5</f>
        <v>870</v>
      </c>
      <c r="H5" s="30"/>
      <c r="I5" s="5" t="s">
        <v>150</v>
      </c>
      <c r="J5" s="2">
        <v>1.29</v>
      </c>
      <c r="K5" s="46">
        <v>561.40350877192986</v>
      </c>
      <c r="L5" s="46">
        <f>K5*J5</f>
        <v>724.21052631578959</v>
      </c>
      <c r="M5" s="93">
        <f>GETPIVOTDATA(" CONSUMO (L) KURIVERTER IK-220 (Biocida)",'CONSUMO QUÍMICA - CAUDALES RO'!$A$3)</f>
        <v>1214.2105263157894</v>
      </c>
      <c r="N5" s="210" t="e">
        <f>SUM(#REF!)</f>
        <v>#REF!</v>
      </c>
      <c r="O5" s="95">
        <f>J15+L15+N15</f>
        <v>0</v>
      </c>
      <c r="P5" s="210"/>
      <c r="Q5" s="20">
        <f>(K5+O5)-M5</f>
        <v>-652.8070175438595</v>
      </c>
      <c r="R5" s="4">
        <f>Q5*J5</f>
        <v>-842.12105263157878</v>
      </c>
    </row>
    <row r="6" spans="2:19" ht="15" thickBot="1" x14ac:dyDescent="0.35">
      <c r="B6" s="5" t="s">
        <v>151</v>
      </c>
      <c r="C6" s="2">
        <v>1.2</v>
      </c>
      <c r="D6" s="46">
        <v>83</v>
      </c>
      <c r="E6" s="237">
        <f>C25+D25+E25+F25</f>
        <v>0</v>
      </c>
      <c r="F6" s="237">
        <f>+C16+D16+E16+F16</f>
        <v>0</v>
      </c>
      <c r="G6" s="237">
        <f>(D6+F6)-E6</f>
        <v>83</v>
      </c>
      <c r="H6" s="30"/>
      <c r="I6" s="5" t="s">
        <v>151</v>
      </c>
      <c r="J6" s="2">
        <v>1.2</v>
      </c>
      <c r="K6" s="46">
        <v>929.82456140350882</v>
      </c>
      <c r="L6" s="46">
        <f>K6*J6</f>
        <v>1115.7894736842106</v>
      </c>
      <c r="M6" s="93">
        <f>GETPIVOTDATA("CONSUMO (L) VITEC 7000 (Antiincrustante) ",'CONSUMO QUÍMICA - CAUDALES RO'!$A$3)</f>
        <v>1408.9473684210527</v>
      </c>
      <c r="N6" s="210" t="e">
        <f>SUM(#REF!)</f>
        <v>#REF!</v>
      </c>
      <c r="O6" s="95">
        <f>J16+L16+N16</f>
        <v>580</v>
      </c>
      <c r="P6" s="210"/>
      <c r="Q6" s="20">
        <f>(K6+O6)-M6</f>
        <v>100.87719298245611</v>
      </c>
      <c r="R6" s="4">
        <f>Q6*J6</f>
        <v>121.05263157894733</v>
      </c>
    </row>
    <row r="7" spans="2:19" ht="15" thickBot="1" x14ac:dyDescent="0.35">
      <c r="B7" s="5" t="s">
        <v>152</v>
      </c>
      <c r="C7" s="2">
        <v>1.2</v>
      </c>
      <c r="D7" s="46">
        <v>50</v>
      </c>
      <c r="E7" s="237">
        <f>C26+D26+E26+F26</f>
        <v>0</v>
      </c>
      <c r="F7" s="237">
        <f>+C17+D17+E17+F17</f>
        <v>0</v>
      </c>
      <c r="G7" s="237">
        <f>(D7+F7)-E7</f>
        <v>50</v>
      </c>
      <c r="H7" s="30"/>
      <c r="I7" s="5" t="s">
        <v>152</v>
      </c>
      <c r="J7" s="2">
        <v>1.2</v>
      </c>
      <c r="K7" s="46">
        <v>0</v>
      </c>
      <c r="L7" s="46">
        <f>K7*J7</f>
        <v>0</v>
      </c>
      <c r="M7" s="93">
        <f>GETPIVOTDATA("CONSUMO (L) Hidróxido de Sodio (NaOH) ",'CONSUMO QUÍMICA - CAUDALES RO'!$A$3)</f>
        <v>0</v>
      </c>
      <c r="N7" s="210" t="e">
        <f>SUM(#REF!)</f>
        <v>#REF!</v>
      </c>
      <c r="O7" s="95">
        <f>J17+L17+N17</f>
        <v>0</v>
      </c>
      <c r="P7" s="210"/>
      <c r="Q7" s="20">
        <f>(K7+O7)-M7</f>
        <v>0</v>
      </c>
      <c r="R7" s="4">
        <f>Q7*J7</f>
        <v>0</v>
      </c>
    </row>
    <row r="8" spans="2:19" ht="15" thickBot="1" x14ac:dyDescent="0.35">
      <c r="B8" s="7" t="s">
        <v>153</v>
      </c>
      <c r="C8" s="29">
        <v>1.48</v>
      </c>
      <c r="D8" s="47">
        <v>60</v>
      </c>
      <c r="E8" s="238">
        <f>C27+D27+E27+F27</f>
        <v>25</v>
      </c>
      <c r="F8" s="238">
        <f>+C18+D18+E18+F18</f>
        <v>0</v>
      </c>
      <c r="G8" s="238">
        <f>(D8+F8)-E8</f>
        <v>35</v>
      </c>
      <c r="H8" s="30"/>
      <c r="I8" s="7" t="s">
        <v>153</v>
      </c>
      <c r="J8" s="29">
        <v>2.5000000000000001E-3</v>
      </c>
      <c r="K8" s="47">
        <v>245.61403508771932</v>
      </c>
      <c r="L8" s="47">
        <f>K8*J8</f>
        <v>0.61403508771929827</v>
      </c>
      <c r="M8" s="93">
        <f>GETPIVOTDATA("CONSUMO (L) Bisulfito de sodio ",'CONSUMO QUÍMICA - CAUDALES RO'!$A$3)</f>
        <v>0</v>
      </c>
      <c r="N8" s="211" t="e">
        <f>SUM(#REF!)</f>
        <v>#REF!</v>
      </c>
      <c r="O8" s="92">
        <f>J18+L18+N18</f>
        <v>0</v>
      </c>
      <c r="P8" s="211"/>
      <c r="Q8" s="21">
        <f>(K8+O8)-M8</f>
        <v>245.61403508771932</v>
      </c>
      <c r="R8" s="22">
        <f>Q8*J8</f>
        <v>0.61403508771929827</v>
      </c>
    </row>
    <row r="9" spans="2:19" ht="3.75" customHeight="1" x14ac:dyDescent="0.3">
      <c r="B9" s="9"/>
      <c r="C9" s="247">
        <v>2.5000000000000001E-3</v>
      </c>
      <c r="D9" s="9"/>
    </row>
    <row r="10" spans="2:19" ht="16.5" customHeight="1" thickBot="1" x14ac:dyDescent="0.35"/>
    <row r="11" spans="2:19" ht="15.75" customHeight="1" thickBot="1" x14ac:dyDescent="0.35">
      <c r="B11" s="686" t="s">
        <v>170</v>
      </c>
      <c r="C11" s="639" t="s">
        <v>24</v>
      </c>
      <c r="D11" s="640"/>
      <c r="E11" s="640"/>
      <c r="F11" s="641"/>
      <c r="I11" s="686" t="s">
        <v>7</v>
      </c>
      <c r="J11" s="690" t="s">
        <v>161</v>
      </c>
      <c r="K11" s="691"/>
      <c r="L11" s="691"/>
      <c r="M11" s="691"/>
      <c r="N11" s="691"/>
      <c r="O11" s="691"/>
      <c r="P11" s="691"/>
      <c r="Q11" s="691"/>
      <c r="R11" s="691"/>
      <c r="S11" s="692"/>
    </row>
    <row r="12" spans="2:19" ht="18" customHeight="1" x14ac:dyDescent="0.3">
      <c r="B12" s="687"/>
      <c r="C12" s="224">
        <v>45677</v>
      </c>
      <c r="D12" s="232"/>
      <c r="E12" s="232"/>
      <c r="F12" s="240"/>
      <c r="I12" s="687"/>
      <c r="J12" s="693">
        <v>45550</v>
      </c>
      <c r="K12" s="694"/>
      <c r="L12" s="693">
        <v>45559</v>
      </c>
      <c r="M12" s="694"/>
      <c r="N12" s="693"/>
      <c r="O12" s="694"/>
      <c r="P12" s="693"/>
      <c r="Q12" s="694"/>
      <c r="R12" s="695"/>
      <c r="S12" s="694"/>
    </row>
    <row r="13" spans="2:19" ht="15" thickBot="1" x14ac:dyDescent="0.35">
      <c r="B13" s="688"/>
      <c r="C13" s="40" t="s">
        <v>168</v>
      </c>
      <c r="D13" s="40" t="s">
        <v>168</v>
      </c>
      <c r="E13" s="40" t="s">
        <v>168</v>
      </c>
      <c r="F13" s="241" t="s">
        <v>168</v>
      </c>
      <c r="I13" s="688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3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242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3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243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3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243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5" customHeight="1" x14ac:dyDescent="0.3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243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5" customHeight="1" thickBot="1" x14ac:dyDescent="0.35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244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5" thickBot="1" x14ac:dyDescent="0.35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75" customHeight="1" thickBot="1" x14ac:dyDescent="0.35">
      <c r="B20" s="681" t="s">
        <v>171</v>
      </c>
      <c r="C20" s="678" t="s">
        <v>169</v>
      </c>
      <c r="D20" s="679"/>
      <c r="E20" s="679"/>
      <c r="F20" s="680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3">
      <c r="B21" s="682"/>
      <c r="C21" s="233">
        <v>45568</v>
      </c>
      <c r="D21" s="234"/>
      <c r="E21" s="234"/>
      <c r="F21" s="245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5" thickBot="1" x14ac:dyDescent="0.35">
      <c r="B22" s="683"/>
      <c r="C22" s="231" t="s">
        <v>10</v>
      </c>
      <c r="D22" s="231" t="s">
        <v>10</v>
      </c>
      <c r="E22" s="231" t="s">
        <v>10</v>
      </c>
      <c r="F22" s="246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3">
      <c r="B23" s="3" t="s">
        <v>149</v>
      </c>
      <c r="C23" s="20">
        <v>0</v>
      </c>
      <c r="D23" s="20">
        <v>0</v>
      </c>
      <c r="E23" s="20">
        <v>0</v>
      </c>
      <c r="F23" s="242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3">
      <c r="B24" s="5" t="s">
        <v>150</v>
      </c>
      <c r="C24" s="27">
        <v>0</v>
      </c>
      <c r="D24" s="27">
        <v>0</v>
      </c>
      <c r="E24" s="27">
        <v>0</v>
      </c>
      <c r="F24" s="243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3">
      <c r="A25" s="9"/>
      <c r="B25" s="5" t="s">
        <v>151</v>
      </c>
      <c r="C25" s="27">
        <v>0</v>
      </c>
      <c r="D25" s="27">
        <v>0</v>
      </c>
      <c r="E25" s="27">
        <v>0</v>
      </c>
      <c r="F25" s="243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3">
      <c r="B26" s="5" t="s">
        <v>152</v>
      </c>
      <c r="C26" s="27">
        <v>0</v>
      </c>
      <c r="D26" s="27">
        <v>0</v>
      </c>
      <c r="E26" s="27">
        <v>0</v>
      </c>
      <c r="F26" s="243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5" thickBot="1" x14ac:dyDescent="0.35">
      <c r="B27" s="7" t="s">
        <v>153</v>
      </c>
      <c r="C27" s="28">
        <v>25</v>
      </c>
      <c r="D27" s="28">
        <v>0</v>
      </c>
      <c r="E27" s="28">
        <v>0</v>
      </c>
      <c r="F27" s="244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3">
      <c r="B28" s="9" t="s">
        <v>167</v>
      </c>
      <c r="C28" s="24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3">
      <c r="B29" s="9"/>
      <c r="C29" s="24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3">
      <c r="B30" s="9"/>
      <c r="C30" s="24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3">
      <c r="B31" s="9"/>
      <c r="C31" s="24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3">
      <c r="B32" s="9"/>
      <c r="C32" s="24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3">
      <c r="B33" s="9"/>
      <c r="C33" s="24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3">
      <c r="B34" s="9"/>
      <c r="C34" s="24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3">
      <c r="B35" s="9"/>
      <c r="C35" s="24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3">
      <c r="B36" s="9"/>
      <c r="C36" s="24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3">
      <c r="B37" s="9"/>
      <c r="C37" s="24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3">
      <c r="B38" s="9"/>
      <c r="C38" s="24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3">
      <c r="B39" s="9"/>
      <c r="C39" s="24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3">
      <c r="B40" s="9"/>
      <c r="C40" s="24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3">
      <c r="B41" s="9"/>
      <c r="C41" s="24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3">
      <c r="B42" s="9"/>
      <c r="C42" s="24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3">
      <c r="B43" s="9"/>
      <c r="C43" s="24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3">
      <c r="B44" s="9"/>
      <c r="C44" s="24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3">
      <c r="B45" s="9"/>
      <c r="C45" s="24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3">
      <c r="B46" s="9"/>
      <c r="C46" s="24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3">
      <c r="B47" s="9"/>
      <c r="C47" s="24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3">
      <c r="B48" s="9"/>
      <c r="C48" s="24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3">
      <c r="B49" s="9"/>
      <c r="C49" s="24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3">
      <c r="B50" s="9"/>
      <c r="C50" s="24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3">
      <c r="B51" s="9"/>
      <c r="C51" s="24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3">
      <c r="B52" s="9"/>
      <c r="C52" s="24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3">
      <c r="B53" s="9"/>
      <c r="C53" s="24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3">
      <c r="B54" s="9"/>
      <c r="C54" s="24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3">
      <c r="B55" s="9"/>
      <c r="C55" s="24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3">
      <c r="B56" s="9"/>
      <c r="C56" s="24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3">
      <c r="B57" s="9"/>
      <c r="C57" s="24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3">
      <c r="B58" s="9"/>
      <c r="C58" s="24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3">
      <c r="B59" s="9"/>
      <c r="C59" s="24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3">
      <c r="B60" s="9"/>
      <c r="C60" s="24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3">
      <c r="B61" s="9"/>
      <c r="C61" s="24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3">
      <c r="B62" s="9"/>
      <c r="C62" s="24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3">
      <c r="B63" s="9"/>
      <c r="C63" s="24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3">
      <c r="B64" s="9"/>
      <c r="C64" s="24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3">
      <c r="B65" s="9"/>
      <c r="C65" s="24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3">
      <c r="B66" s="9"/>
      <c r="C66" s="24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3">
      <c r="B67" s="9"/>
      <c r="C67" s="24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3">
      <c r="B68" s="9"/>
      <c r="C68" s="24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3">
      <c r="B69" s="9"/>
      <c r="C69" s="24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3">
      <c r="B70" s="9"/>
      <c r="C70" s="24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3">
      <c r="B71" s="9"/>
      <c r="C71" s="24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3">
      <c r="B72" s="9"/>
      <c r="C72" s="24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3">
      <c r="B73" s="9"/>
      <c r="C73" s="24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3">
      <c r="B74" s="9"/>
      <c r="C74" s="24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3">
      <c r="B75" s="9"/>
      <c r="C75" s="24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3">
      <c r="B76" s="9"/>
      <c r="C76" s="24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3">
      <c r="B77" s="9"/>
      <c r="C77" s="24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3">
      <c r="B78" s="9"/>
      <c r="C78" s="24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3">
      <c r="B79" s="9"/>
      <c r="C79" s="24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3">
      <c r="B80" s="9"/>
      <c r="C80" s="24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3">
      <c r="B81" s="9"/>
      <c r="C81" s="24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3">
      <c r="B82" s="9"/>
      <c r="C82" s="24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3">
      <c r="B83" s="9"/>
      <c r="C83" s="24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3">
      <c r="B84" s="9"/>
      <c r="C84" s="24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3">
      <c r="B85" s="9"/>
      <c r="C85" s="24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3">
      <c r="B86" s="9"/>
      <c r="C86" s="24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3">
      <c r="B87" s="9"/>
      <c r="C87" s="24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3">
      <c r="B88" s="9"/>
      <c r="C88" s="24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3">
      <c r="B89" s="9"/>
      <c r="C89" s="24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3">
      <c r="B90" s="9"/>
      <c r="C90" s="24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3">
      <c r="B91" s="9"/>
      <c r="C91" s="24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3">
      <c r="B92" s="9"/>
      <c r="C92" s="24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3">
      <c r="B93" s="9"/>
      <c r="C93" s="24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3">
      <c r="B94" s="9"/>
      <c r="C94" s="24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3">
      <c r="B95" s="9"/>
      <c r="C95" s="24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3">
      <c r="B96" s="9"/>
      <c r="C96" s="24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3">
      <c r="B97" s="9"/>
      <c r="C97" s="24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3">
      <c r="B98" s="9"/>
      <c r="C98" s="24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3">
      <c r="B99" s="9"/>
      <c r="C99" s="24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3">
      <c r="B100" s="9"/>
      <c r="C100" s="24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3">
      <c r="B101" s="9"/>
      <c r="C101" s="24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3">
      <c r="B102" s="9"/>
      <c r="C102" s="24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3">
      <c r="B103" s="9"/>
      <c r="C103" s="24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3">
      <c r="B104" s="9"/>
      <c r="C104" s="24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3">
      <c r="B105" s="9"/>
      <c r="C105" s="24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3">
      <c r="B106" s="9"/>
      <c r="C106" s="24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3">
      <c r="B107" s="9"/>
      <c r="C107" s="24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3">
      <c r="B108" s="9"/>
      <c r="C108" s="24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3">
      <c r="B109" s="9"/>
      <c r="C109" s="24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3">
      <c r="B110" s="9"/>
      <c r="C110" s="24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3">
      <c r="B111" s="9"/>
      <c r="C111" s="24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3">
      <c r="B112" s="9"/>
      <c r="C112" s="24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3">
      <c r="B113" s="9"/>
      <c r="C113" s="24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3">
      <c r="B114" s="9"/>
      <c r="C114" s="24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3">
      <c r="B115" s="9"/>
      <c r="C115" s="24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3">
      <c r="B116" s="9"/>
      <c r="C116" s="24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3">
      <c r="B117" s="9"/>
      <c r="C117" s="24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3">
      <c r="B118" s="9"/>
      <c r="C118" s="24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3">
      <c r="B119" s="9"/>
      <c r="C119" s="24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3">
      <c r="B120" s="9"/>
      <c r="C120" s="24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3">
      <c r="B121" s="9"/>
      <c r="C121" s="24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3">
      <c r="B122" s="9"/>
      <c r="C122" s="24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3">
      <c r="B123" s="9"/>
      <c r="C123" s="24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3">
      <c r="B124" s="9"/>
      <c r="C124" s="24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3">
      <c r="B125" s="9"/>
      <c r="C125" s="24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3">
      <c r="B126" s="9"/>
      <c r="C126" s="24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3">
      <c r="B127" s="9"/>
      <c r="C127" s="24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3">
      <c r="B128" s="9"/>
      <c r="C128" s="24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3">
      <c r="B129" s="9"/>
      <c r="C129" s="24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3">
      <c r="B130" s="9"/>
      <c r="C130" s="24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3">
      <c r="B131" s="9"/>
      <c r="C131" s="24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3">
      <c r="B132" s="9"/>
      <c r="C132" s="24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3">
      <c r="B133" s="9"/>
      <c r="C133" s="24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3">
      <c r="B134" s="9"/>
      <c r="C134" s="24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3">
      <c r="B135" s="9"/>
      <c r="C135" s="24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3">
      <c r="B136" s="9"/>
      <c r="C136" s="24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3">
      <c r="B137" s="9"/>
      <c r="C137" s="24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3">
      <c r="B138" s="9"/>
      <c r="C138" s="24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3">
      <c r="B139" s="9"/>
      <c r="C139" s="24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3">
      <c r="B140" s="9"/>
      <c r="C140" s="24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3">
      <c r="B141" s="9"/>
      <c r="C141" s="24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3">
      <c r="B142" s="9"/>
      <c r="C142" s="24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3">
      <c r="B143" s="9"/>
      <c r="C143" s="24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3">
      <c r="B144" s="9"/>
      <c r="C144" s="24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3">
      <c r="B145" s="9"/>
      <c r="C145" s="24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3">
      <c r="B146" s="9"/>
      <c r="C146" s="24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3">
      <c r="B147" s="9"/>
      <c r="C147" s="24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3">
      <c r="B148" s="9"/>
      <c r="C148" s="24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3">
      <c r="B149" s="9"/>
      <c r="C149" s="24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3">
      <c r="B150" s="9"/>
      <c r="C150" s="24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3">
      <c r="B151" s="9"/>
      <c r="C151" s="24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3">
      <c r="B152" s="9"/>
      <c r="C152" s="24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3">
      <c r="B153" s="9"/>
      <c r="C153" s="24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3">
      <c r="B154" s="9"/>
      <c r="C154" s="24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3">
      <c r="B155" s="9"/>
      <c r="C155" s="24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3">
      <c r="B156" s="9"/>
      <c r="C156" s="24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3">
      <c r="B157" s="9"/>
      <c r="C157" s="24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3">
      <c r="B158" s="9"/>
      <c r="C158" s="24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3">
      <c r="B159" s="9"/>
      <c r="C159" s="24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3">
      <c r="B160" s="9"/>
      <c r="C160" s="24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3">
      <c r="B161" s="9"/>
      <c r="C161" s="24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3">
      <c r="B162" s="9"/>
      <c r="C162" s="24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3">
      <c r="B163" s="9"/>
      <c r="C163" s="24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3">
      <c r="B164" s="9"/>
      <c r="C164" s="24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3">
      <c r="B165" s="9"/>
      <c r="C165" s="24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3">
      <c r="B166" s="9"/>
      <c r="C166" s="24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3">
      <c r="B167" s="9"/>
      <c r="C167" s="24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3">
      <c r="B168" s="9"/>
      <c r="C168" s="24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3">
      <c r="B169" s="9"/>
      <c r="C169" s="24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3">
      <c r="B170" s="9"/>
      <c r="C170" s="24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3">
      <c r="B171" s="9"/>
      <c r="C171" s="24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3">
      <c r="B172" s="9"/>
      <c r="C172" s="24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3">
      <c r="B173" s="9"/>
      <c r="C173" s="24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3">
      <c r="B174" s="9"/>
      <c r="C174" s="24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3">
      <c r="B175" s="9"/>
      <c r="C175" s="24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3">
      <c r="B176" s="9"/>
      <c r="C176" s="24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3">
      <c r="B177" s="9"/>
      <c r="C177" s="24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3">
      <c r="B178" s="9"/>
      <c r="C178" s="24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3">
      <c r="B179" s="9"/>
      <c r="C179" s="24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3">
      <c r="B180" s="9"/>
      <c r="C180" s="24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3">
      <c r="B181" s="9"/>
      <c r="C181" s="24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3">
      <c r="B182" s="9"/>
      <c r="C182" s="24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3">
      <c r="B183" s="9"/>
      <c r="C183" s="24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3">
      <c r="B184" s="9"/>
      <c r="C184" s="24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3">
      <c r="B185" s="9"/>
      <c r="C185" s="24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3">
      <c r="B186" s="9"/>
      <c r="C186" s="24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3">
      <c r="B187" s="9"/>
      <c r="C187" s="24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3">
      <c r="B188" s="9"/>
      <c r="C188" s="24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3">
      <c r="B189" s="9"/>
      <c r="C189" s="24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3">
      <c r="B190" s="9"/>
      <c r="C190" s="24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3">
      <c r="B191" s="9"/>
      <c r="C191" s="24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3">
      <c r="B192" s="9"/>
      <c r="C192" s="24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3">
      <c r="B193" s="9"/>
      <c r="C193" s="24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3">
      <c r="B194" s="9"/>
      <c r="C194" s="24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3">
      <c r="B195" s="9"/>
      <c r="C195" s="24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3">
      <c r="B196" s="9"/>
      <c r="C196" s="24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3">
      <c r="B197" s="9"/>
      <c r="C197" s="24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3">
      <c r="B198" s="9"/>
      <c r="C198" s="24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3">
      <c r="B199" s="9"/>
      <c r="C199" s="24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3">
      <c r="B200" s="9"/>
      <c r="C200" s="24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3">
      <c r="B201" s="9"/>
      <c r="C201" s="24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3">
      <c r="B202" s="9"/>
      <c r="C202" s="24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3">
      <c r="B203" s="9"/>
      <c r="C203" s="24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3">
      <c r="B204" s="9"/>
      <c r="C204" s="24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3">
      <c r="B205" s="9"/>
      <c r="C205" s="24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3">
      <c r="B206" s="9"/>
      <c r="C206" s="24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3">
      <c r="B207" s="9"/>
      <c r="C207" s="24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3">
      <c r="B208" s="9"/>
      <c r="C208" s="24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3">
      <c r="B209" s="9"/>
      <c r="C209" s="24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3">
      <c r="B210" s="9"/>
      <c r="C210" s="24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3">
      <c r="B211" s="9"/>
      <c r="C211" s="24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3">
      <c r="B212" s="9"/>
      <c r="C212" s="24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3">
      <c r="B213" s="9"/>
      <c r="C213" s="24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3">
      <c r="B214" s="9"/>
      <c r="C214" s="24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3">
      <c r="B215" s="9"/>
      <c r="C215" s="24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3">
      <c r="B216" s="9"/>
      <c r="C216" s="24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3">
      <c r="B217" s="9"/>
      <c r="C217" s="24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3">
      <c r="B218" s="9"/>
      <c r="C218" s="24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3">
      <c r="B219" s="9"/>
      <c r="C219" s="24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3">
      <c r="B220" s="9"/>
      <c r="C220" s="24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3">
      <c r="B221" s="9"/>
      <c r="C221" s="24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3">
      <c r="B222" s="9"/>
      <c r="C222" s="24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3">
      <c r="B223" s="9"/>
      <c r="C223" s="24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3">
      <c r="B224" s="9"/>
      <c r="C224" s="24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3">
      <c r="B225" s="9"/>
      <c r="C225" s="24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3">
      <c r="B226" s="9"/>
      <c r="C226" s="24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3">
      <c r="B227" s="9"/>
      <c r="C227" s="24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3">
      <c r="B228" s="9"/>
      <c r="C228" s="24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3">
      <c r="B229" s="9"/>
      <c r="C229" s="24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3">
      <c r="B230" s="9"/>
      <c r="C230" s="24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3">
      <c r="B231" s="9"/>
      <c r="C231" s="24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3">
      <c r="B232" s="9"/>
      <c r="C232" s="24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3">
      <c r="B233" s="9"/>
      <c r="C233" s="24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3">
      <c r="B234" s="9"/>
      <c r="C234" s="24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3">
      <c r="B235" s="9"/>
      <c r="C235" s="24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3">
      <c r="B236" s="9"/>
      <c r="C236" s="24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3">
      <c r="B237" s="9"/>
      <c r="C237" s="24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3">
      <c r="B238" s="9"/>
      <c r="C238" s="24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3">
      <c r="B239" s="9"/>
      <c r="C239" s="24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3">
      <c r="B240" s="9"/>
      <c r="C240" s="24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3">
      <c r="B241" s="9"/>
      <c r="C241" s="24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3">
      <c r="B242" s="9"/>
      <c r="C242" s="24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3">
      <c r="B243" s="9"/>
      <c r="C243" s="24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3">
      <c r="B244" s="9"/>
      <c r="C244" s="24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3">
      <c r="B245" s="9"/>
      <c r="C245" s="24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3">
      <c r="B246" s="9"/>
      <c r="C246" s="24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3">
      <c r="B247" s="9"/>
      <c r="C247" s="24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3">
      <c r="B248" s="9"/>
      <c r="C248" s="24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3">
      <c r="B249" s="9"/>
      <c r="C249" s="24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3">
      <c r="B250" s="9"/>
      <c r="C250" s="24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3">
      <c r="B251" s="9"/>
      <c r="C251" s="24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3">
      <c r="B252" s="9"/>
      <c r="C252" s="24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3">
      <c r="B253" s="9"/>
      <c r="C253" s="24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3">
      <c r="B254" s="9"/>
      <c r="C254" s="24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3">
      <c r="B255" s="9"/>
      <c r="C255" s="24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3">
      <c r="B256" s="9"/>
      <c r="C256" s="24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3">
      <c r="B257" s="9"/>
      <c r="C257" s="24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3">
      <c r="B258" s="9"/>
      <c r="C258" s="24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3">
      <c r="B259" s="9"/>
      <c r="C259" s="24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3">
      <c r="B260" s="9"/>
      <c r="C260" s="24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3">
      <c r="B261" s="9"/>
      <c r="C261" s="24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3">
      <c r="B262" s="9"/>
      <c r="C262" s="24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3">
      <c r="B263" s="9"/>
      <c r="C263" s="24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3">
      <c r="B264" s="9"/>
      <c r="C264" s="24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3">
      <c r="B265" s="9"/>
      <c r="C265" s="24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3">
      <c r="B266" s="9"/>
      <c r="C266" s="24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3">
      <c r="B267" s="9"/>
      <c r="C267" s="24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3">
      <c r="B268" s="9"/>
      <c r="C268" s="24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3">
      <c r="B269" s="9"/>
      <c r="C269" s="24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3">
      <c r="B270" s="9"/>
      <c r="C270" s="24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3">
      <c r="B271" s="9"/>
      <c r="C271" s="24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3">
      <c r="B272" s="9"/>
      <c r="C272" s="24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3">
      <c r="B273" s="9"/>
      <c r="C273" s="24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3">
      <c r="B274" s="9"/>
      <c r="C274" s="24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3">
      <c r="B275" s="9"/>
      <c r="C275" s="24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3">
      <c r="B276" s="9"/>
      <c r="C276" s="24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3">
      <c r="B277" s="9"/>
      <c r="C277" s="24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3">
      <c r="B278" s="9"/>
      <c r="C278" s="24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3">
      <c r="B279" s="9"/>
      <c r="C279" s="24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3">
      <c r="B280" s="9"/>
      <c r="C280" s="24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3">
      <c r="B281" s="9"/>
      <c r="C281" s="24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3">
      <c r="B282" s="9"/>
      <c r="C282" s="24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3">
      <c r="B283" s="9"/>
      <c r="C283" s="24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3">
      <c r="B284" s="9"/>
      <c r="C284" s="24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3">
      <c r="B285" s="9"/>
      <c r="C285" s="24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3">
      <c r="B286" s="9"/>
      <c r="C286" s="24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3">
      <c r="B287" s="9"/>
      <c r="C287" s="24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3">
      <c r="B288" s="9"/>
      <c r="C288" s="24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3">
      <c r="B289" s="9"/>
      <c r="C289" s="24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3">
      <c r="B290" s="9"/>
      <c r="C290" s="24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3">
      <c r="B291" s="9"/>
      <c r="C291" s="24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3">
      <c r="B292" s="9"/>
      <c r="C292" s="24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3">
      <c r="B293" s="9"/>
      <c r="C293" s="24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3">
      <c r="B294" s="9"/>
      <c r="C294" s="24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3">
      <c r="B295" s="9"/>
      <c r="C295" s="24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3">
      <c r="B296" s="9"/>
      <c r="C296" s="24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3">
      <c r="B297" s="9"/>
      <c r="C297" s="24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3">
      <c r="B298" s="9"/>
      <c r="C298" s="24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3">
      <c r="B299" s="9"/>
      <c r="C299" s="24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3">
      <c r="B300" s="9"/>
      <c r="C300" s="24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3">
      <c r="B301" s="9"/>
      <c r="C301" s="24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3">
      <c r="B302" s="9"/>
      <c r="C302" s="24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3">
      <c r="B303" s="9"/>
      <c r="C303" s="24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3">
      <c r="B304" s="9"/>
      <c r="C304" s="24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3">
      <c r="B305" s="9"/>
      <c r="C305" s="24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3">
      <c r="B306" s="9"/>
      <c r="C306" s="24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3">
      <c r="B307" s="9"/>
      <c r="C307" s="24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3">
      <c r="B308" s="9"/>
      <c r="C308" s="24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3">
      <c r="B309" s="9"/>
      <c r="C309" s="24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3">
      <c r="B310" s="9"/>
      <c r="C310" s="24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3">
      <c r="B311" s="9"/>
      <c r="C311" s="24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3">
      <c r="B312" s="9"/>
      <c r="C312" s="24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3">
      <c r="B313" s="9"/>
      <c r="C313" s="24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3">
      <c r="B314" s="9"/>
      <c r="C314" s="24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3">
      <c r="B315" s="9"/>
      <c r="C315" s="24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3">
      <c r="B316" s="9"/>
      <c r="C316" s="24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3">
      <c r="B317" s="9"/>
      <c r="C317" s="24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3">
      <c r="B318" s="9"/>
      <c r="C318" s="24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3">
      <c r="B319" s="9"/>
      <c r="C319" s="24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3">
      <c r="B320" s="9"/>
      <c r="C320" s="24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3">
      <c r="B321" s="9"/>
      <c r="C321" s="24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3">
      <c r="B322" s="9"/>
      <c r="C322" s="24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3">
      <c r="B323" s="9"/>
      <c r="C323" s="24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3">
      <c r="B324" s="9"/>
      <c r="C324" s="24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3">
      <c r="B325" s="9"/>
      <c r="C325" s="24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3">
      <c r="B326" s="9"/>
      <c r="C326" s="24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3">
      <c r="B327" s="9"/>
      <c r="C327" s="24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3">
      <c r="B328" s="9"/>
      <c r="C328" s="24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3">
      <c r="B329" s="9"/>
      <c r="C329" s="24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3">
      <c r="B330" s="9"/>
      <c r="C330" s="24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3">
      <c r="B331" s="9"/>
      <c r="C331" s="24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3">
      <c r="B332" s="9"/>
      <c r="C332" s="24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3">
      <c r="B333" s="9"/>
      <c r="C333" s="24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3">
      <c r="B334" s="9"/>
      <c r="C334" s="24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3">
      <c r="B335" s="9"/>
      <c r="C335" s="24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3">
      <c r="B336" s="9"/>
      <c r="C336" s="24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3">
      <c r="B337" s="9"/>
      <c r="C337" s="24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3">
      <c r="B338" s="9"/>
      <c r="C338" s="24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3">
      <c r="B339" s="9"/>
      <c r="C339" s="24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3">
      <c r="B340" s="9"/>
      <c r="C340" s="24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3">
      <c r="B341" s="9"/>
      <c r="C341" s="24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3">
      <c r="B342" s="9"/>
      <c r="C342" s="24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3">
      <c r="B343" s="9"/>
      <c r="C343" s="24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3">
      <c r="B344" s="9"/>
      <c r="C344" s="24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3">
      <c r="B345" s="9"/>
      <c r="C345" s="24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3">
      <c r="B346" s="9"/>
      <c r="C346" s="24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3">
      <c r="B347" s="9"/>
      <c r="C347" s="24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3">
      <c r="B348" s="9"/>
      <c r="C348" s="24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3">
      <c r="B349" s="9"/>
      <c r="C349" s="24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3">
      <c r="B350" s="9"/>
      <c r="C350" s="24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3">
      <c r="B351" s="9"/>
      <c r="C351" s="24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3">
      <c r="B352" s="9"/>
      <c r="C352" s="24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3">
      <c r="B353" s="9"/>
      <c r="C353" s="24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3">
      <c r="B354" s="9"/>
      <c r="C354" s="24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3">
      <c r="B355" s="9"/>
      <c r="C355" s="24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3">
      <c r="B356" s="9"/>
      <c r="C356" s="24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3">
      <c r="B357" s="9"/>
      <c r="C357" s="24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3">
      <c r="B358" s="9"/>
      <c r="C358" s="24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3">
      <c r="B359" s="9"/>
      <c r="C359" s="24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3">
      <c r="B360" s="9"/>
      <c r="C360" s="24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3">
      <c r="B361" s="9"/>
      <c r="C361" s="24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3">
      <c r="B362" s="9"/>
      <c r="C362" s="24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3">
      <c r="B363" s="9"/>
      <c r="C363" s="24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3">
      <c r="B364" s="9"/>
      <c r="C364" s="24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3">
      <c r="B365" s="9"/>
      <c r="C365" s="24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3">
      <c r="B366" s="9"/>
      <c r="C366" s="24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3">
      <c r="B367" s="9"/>
      <c r="C367" s="24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3">
      <c r="B368" s="9"/>
      <c r="C368" s="24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3">
      <c r="B369" s="9"/>
      <c r="C369" s="24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3">
      <c r="B370" s="9"/>
      <c r="C370" s="24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3">
      <c r="B371" s="9"/>
      <c r="C371" s="24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3">
      <c r="B372" s="9"/>
      <c r="C372" s="24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3">
      <c r="B373" s="9"/>
      <c r="C373" s="24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3">
      <c r="B374" s="9"/>
      <c r="C374" s="24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3">
      <c r="B375" s="9"/>
      <c r="C375" s="24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3">
      <c r="B376" s="9"/>
      <c r="C376" s="24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3">
      <c r="B377" s="9"/>
      <c r="C377" s="24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3">
      <c r="B378" s="9"/>
      <c r="C378" s="24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3">
      <c r="B379" s="9"/>
      <c r="C379" s="24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3">
      <c r="B380" s="9"/>
      <c r="C380" s="24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3">
      <c r="B381" s="9"/>
      <c r="C381" s="24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3">
      <c r="B382" s="9"/>
      <c r="C382" s="24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3">
      <c r="B383" s="9"/>
      <c r="C383" s="24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3">
      <c r="B384" s="9"/>
      <c r="C384" s="24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3">
      <c r="B385" s="9"/>
      <c r="C385" s="24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3">
      <c r="B386" s="9"/>
      <c r="C386" s="24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3">
      <c r="B387" s="9"/>
      <c r="C387" s="24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3">
      <c r="B388" s="9"/>
      <c r="C388" s="24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3">
      <c r="B389" s="9"/>
      <c r="C389" s="24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3">
      <c r="B390" s="9"/>
      <c r="C390" s="24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3">
      <c r="B391" s="9"/>
      <c r="C391" s="24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3">
      <c r="B392" s="9"/>
      <c r="C392" s="24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3">
      <c r="B393" s="9"/>
      <c r="C393" s="24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3">
      <c r="B394" s="9"/>
      <c r="C394" s="24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3">
      <c r="B395" s="9"/>
      <c r="C395" s="24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3">
      <c r="B396" s="9"/>
      <c r="C396" s="24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3">
      <c r="B397" s="9"/>
      <c r="C397" s="24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3">
      <c r="B398" s="9"/>
      <c r="C398" s="24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3">
      <c r="B399" s="9"/>
      <c r="C399" s="24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3">
      <c r="B400" s="9"/>
      <c r="C400" s="24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3">
      <c r="B401" s="9"/>
      <c r="C401" s="24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3">
      <c r="B402" s="9"/>
      <c r="C402" s="24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3">
      <c r="B403" s="9"/>
      <c r="C403" s="24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3">
      <c r="B404" s="9"/>
      <c r="C404" s="24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3">
      <c r="B405" s="9"/>
      <c r="C405" s="24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3">
      <c r="B406" s="9"/>
      <c r="C406" s="24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3">
      <c r="B407" s="9"/>
      <c r="C407" s="24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3">
      <c r="B408" s="9"/>
      <c r="C408" s="24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3">
      <c r="B409" s="9"/>
      <c r="C409" s="24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3">
      <c r="B410" s="9"/>
      <c r="C410" s="24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3">
      <c r="B411" s="9"/>
      <c r="C411" s="24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3">
      <c r="B412" s="9"/>
      <c r="C412" s="24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dimension ref="A1:F21"/>
  <sheetViews>
    <sheetView workbookViewId="0">
      <selection sqref="A1:F1"/>
    </sheetView>
  </sheetViews>
  <sheetFormatPr baseColWidth="10" defaultRowHeight="14.4" x14ac:dyDescent="0.3"/>
  <cols>
    <col min="1" max="1" width="37.33203125" bestFit="1" customWidth="1"/>
    <col min="2" max="3" width="20.88671875" customWidth="1"/>
    <col min="4" max="4" width="15.109375" bestFit="1" customWidth="1"/>
    <col min="5" max="5" width="18" customWidth="1"/>
    <col min="6" max="6" width="20.33203125" customWidth="1"/>
  </cols>
  <sheetData>
    <row r="1" spans="1:6" x14ac:dyDescent="0.3">
      <c r="A1" s="707" t="s">
        <v>213</v>
      </c>
      <c r="B1" s="707"/>
      <c r="C1" s="707"/>
      <c r="D1" s="707"/>
      <c r="E1" s="707"/>
      <c r="F1" s="707"/>
    </row>
    <row r="2" spans="1:6" ht="28.2" customHeight="1" x14ac:dyDescent="0.3">
      <c r="A2" s="315" t="s">
        <v>154</v>
      </c>
      <c r="B2" s="315" t="s">
        <v>204</v>
      </c>
      <c r="C2" s="315" t="s">
        <v>208</v>
      </c>
      <c r="D2" s="315" t="s">
        <v>205</v>
      </c>
      <c r="E2" s="315" t="s">
        <v>209</v>
      </c>
      <c r="F2" s="317" t="s">
        <v>222</v>
      </c>
    </row>
    <row r="3" spans="1:6" x14ac:dyDescent="0.3">
      <c r="A3" s="313" t="s">
        <v>203</v>
      </c>
      <c r="B3" s="89">
        <f>+'INVENTARIO Y CONSUMO GEM  '!S96</f>
        <v>10868</v>
      </c>
      <c r="C3" s="89">
        <f>+B3/23</f>
        <v>472.52173913043481</v>
      </c>
      <c r="D3" s="314">
        <f>+'INVENTARIO Y CONSUMO GEM  '!AN96</f>
        <v>66014150</v>
      </c>
      <c r="E3" s="314">
        <f>+D3/23</f>
        <v>2870180.4347826089</v>
      </c>
      <c r="F3" s="318">
        <f>+D3/$B$9</f>
        <v>1637.1338938075044</v>
      </c>
    </row>
    <row r="4" spans="1:6" x14ac:dyDescent="0.3">
      <c r="A4" s="313" t="s">
        <v>201</v>
      </c>
      <c r="B4" s="89">
        <f>+'INVENTARIO Y CONSUMO GEM  '!T96</f>
        <v>22763.5</v>
      </c>
      <c r="C4" s="89">
        <f>+B4/23</f>
        <v>989.71739130434787</v>
      </c>
      <c r="D4" s="314">
        <f>+'INVENTARIO Y CONSUMO GEM  '!AO96</f>
        <v>43356812.5</v>
      </c>
      <c r="E4" s="314">
        <f>+D4/23</f>
        <v>1885078.8043478262</v>
      </c>
      <c r="F4" s="318">
        <f>+D4/$B$9</f>
        <v>1075.2377675272178</v>
      </c>
    </row>
    <row r="5" spans="1:6" x14ac:dyDescent="0.3">
      <c r="A5" s="313" t="s">
        <v>202</v>
      </c>
      <c r="B5" s="89">
        <f>+'INVENTARIO Y CONSUMO GEM  '!U96</f>
        <v>6887.5</v>
      </c>
      <c r="C5" s="89">
        <f>+B5/23</f>
        <v>299.45652173913044</v>
      </c>
      <c r="D5" s="314">
        <f>+'INVENTARIO Y CONSUMO GEM  '!AP96</f>
        <v>3905250</v>
      </c>
      <c r="E5" s="314">
        <f>+D5/23</f>
        <v>169793.47826086957</v>
      </c>
      <c r="F5" s="318">
        <f>+D5/$B$9</f>
        <v>96.849192768395213</v>
      </c>
    </row>
    <row r="6" spans="1:6" x14ac:dyDescent="0.3">
      <c r="A6" s="313" t="s">
        <v>206</v>
      </c>
      <c r="B6" s="89">
        <f>+'INVENTARIO Y CONSUMO GEM  '!V96</f>
        <v>205</v>
      </c>
      <c r="C6" s="89">
        <f>+B6/23</f>
        <v>8.9130434782608692</v>
      </c>
      <c r="D6" s="314">
        <f>+'INVENTARIO Y CONSUMO GEM  '!AQ96</f>
        <v>10584000</v>
      </c>
      <c r="E6" s="314">
        <f>+D6/23</f>
        <v>460173.91304347827</v>
      </c>
      <c r="F6" s="318">
        <f>+D6/$B$9</f>
        <v>262.48047020310986</v>
      </c>
    </row>
    <row r="7" spans="1:6" x14ac:dyDescent="0.3">
      <c r="A7" s="313" t="s">
        <v>207</v>
      </c>
      <c r="B7" s="89">
        <f>+'INVENTARIO Y CONSUMO GEM  '!W96</f>
        <v>480</v>
      </c>
      <c r="C7" s="89">
        <f>+B7/23</f>
        <v>20.869565217391305</v>
      </c>
      <c r="D7" s="314">
        <f>+'INVENTARIO Y CONSUMO GEM  '!AR96</f>
        <v>132880652.5</v>
      </c>
      <c r="E7" s="314">
        <f>+D7/23</f>
        <v>5777419.6739130439</v>
      </c>
      <c r="F7" s="318">
        <f>+D7/$B$9</f>
        <v>3295.4059097785384</v>
      </c>
    </row>
    <row r="8" spans="1:6" x14ac:dyDescent="0.3">
      <c r="A8" s="312" t="s">
        <v>215</v>
      </c>
      <c r="B8" s="706">
        <f>+SUM(D3:D7)</f>
        <v>256740865</v>
      </c>
      <c r="C8" s="706"/>
      <c r="D8" s="706"/>
      <c r="E8" s="316"/>
      <c r="F8" s="319">
        <f>SUM(F3:F7)</f>
        <v>6367.1072340847659</v>
      </c>
    </row>
    <row r="9" spans="1:6" x14ac:dyDescent="0.3">
      <c r="A9" s="312" t="s">
        <v>216</v>
      </c>
      <c r="B9" s="708">
        <v>40323</v>
      </c>
      <c r="C9" s="709"/>
      <c r="D9" s="709"/>
      <c r="E9" s="709"/>
      <c r="F9" s="710"/>
    </row>
    <row r="10" spans="1:6" x14ac:dyDescent="0.3">
      <c r="A10" s="713" t="s">
        <v>214</v>
      </c>
      <c r="B10" s="713"/>
      <c r="C10" s="713"/>
      <c r="D10" s="713"/>
      <c r="E10" s="713"/>
    </row>
    <row r="11" spans="1:6" x14ac:dyDescent="0.3">
      <c r="A11" s="315" t="s">
        <v>154</v>
      </c>
      <c r="B11" s="315" t="s">
        <v>204</v>
      </c>
      <c r="C11" s="315" t="s">
        <v>208</v>
      </c>
      <c r="D11" s="315" t="s">
        <v>205</v>
      </c>
      <c r="E11" s="315" t="s">
        <v>209</v>
      </c>
    </row>
    <row r="12" spans="1:6" x14ac:dyDescent="0.3">
      <c r="A12" s="313" t="s">
        <v>210</v>
      </c>
      <c r="B12" s="89">
        <f>240*2</f>
        <v>480</v>
      </c>
      <c r="C12" s="89">
        <f>+B12/23</f>
        <v>20.869565217391305</v>
      </c>
      <c r="D12" s="314">
        <f>1780*B12</f>
        <v>854400</v>
      </c>
      <c r="E12" s="314">
        <f>+D12/23</f>
        <v>37147.82608695652</v>
      </c>
    </row>
    <row r="13" spans="1:6" x14ac:dyDescent="0.3">
      <c r="A13" s="313" t="s">
        <v>211</v>
      </c>
      <c r="B13" s="89">
        <v>200</v>
      </c>
      <c r="C13" s="89">
        <f>+B13/23</f>
        <v>8.695652173913043</v>
      </c>
      <c r="D13" s="314">
        <f>2100*B13</f>
        <v>420000</v>
      </c>
      <c r="E13" s="314">
        <f>+D13/23</f>
        <v>18260.869565217392</v>
      </c>
    </row>
    <row r="14" spans="1:6" x14ac:dyDescent="0.3">
      <c r="A14" s="313" t="s">
        <v>212</v>
      </c>
      <c r="B14" s="89">
        <v>160</v>
      </c>
      <c r="C14" s="89">
        <f>+B14/23</f>
        <v>6.9565217391304346</v>
      </c>
      <c r="D14" s="314">
        <f>3880*B14</f>
        <v>620800</v>
      </c>
      <c r="E14" s="314">
        <f>+D14/23</f>
        <v>26991.304347826088</v>
      </c>
    </row>
    <row r="15" spans="1:6" x14ac:dyDescent="0.3">
      <c r="A15" s="312" t="s">
        <v>215</v>
      </c>
      <c r="B15" s="711">
        <f>+SUM(D12:D14)</f>
        <v>1895200</v>
      </c>
      <c r="C15" s="712"/>
      <c r="D15" s="712"/>
      <c r="E15" s="712"/>
    </row>
    <row r="16" spans="1:6" x14ac:dyDescent="0.3">
      <c r="A16" s="312" t="s">
        <v>216</v>
      </c>
      <c r="B16" s="706">
        <v>12660</v>
      </c>
      <c r="C16" s="706"/>
      <c r="D16" s="706"/>
      <c r="E16" s="706"/>
    </row>
    <row r="17" spans="1:5" x14ac:dyDescent="0.3">
      <c r="A17" s="312" t="s">
        <v>217</v>
      </c>
      <c r="B17" s="708">
        <v>9612</v>
      </c>
      <c r="C17" s="709"/>
      <c r="D17" s="709"/>
      <c r="E17" s="710"/>
    </row>
    <row r="18" spans="1:5" x14ac:dyDescent="0.3">
      <c r="A18" s="312" t="s">
        <v>218</v>
      </c>
      <c r="B18" s="706">
        <f>+B15/B16</f>
        <v>149.69984202211691</v>
      </c>
      <c r="C18" s="706"/>
      <c r="D18" s="706"/>
      <c r="E18" s="706"/>
    </row>
    <row r="19" spans="1:5" x14ac:dyDescent="0.3">
      <c r="A19" s="312" t="s">
        <v>219</v>
      </c>
      <c r="B19" s="711">
        <f>+B15/B17</f>
        <v>197.17020391177695</v>
      </c>
      <c r="C19" s="712"/>
      <c r="D19" s="712"/>
      <c r="E19" s="712"/>
    </row>
    <row r="20" spans="1:5" x14ac:dyDescent="0.3">
      <c r="A20" s="312" t="s">
        <v>220</v>
      </c>
      <c r="B20" s="711">
        <f>F8+B18</f>
        <v>6516.807076106883</v>
      </c>
      <c r="C20" s="712"/>
      <c r="D20" s="712"/>
      <c r="E20" s="712"/>
    </row>
    <row r="21" spans="1:5" x14ac:dyDescent="0.3">
      <c r="A21" s="312" t="s">
        <v>221</v>
      </c>
      <c r="B21" s="711">
        <f>F8+B19</f>
        <v>6564.2774379965431</v>
      </c>
      <c r="C21" s="712"/>
      <c r="D21" s="712"/>
      <c r="E21" s="712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INVENTARIO Y CONSUMO GEM  </vt:lpstr>
      <vt:lpstr>DB QUIMICA</vt:lpstr>
      <vt:lpstr>GRAFICAS</vt:lpstr>
      <vt:lpstr>INFORME CALIDAD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2026-04-08T19:04:51Z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