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INFORMES BALANCE HIDRICO\"/>
    </mc:Choice>
  </mc:AlternateContent>
  <xr:revisionPtr revIDLastSave="0" documentId="13_ncr:1_{FE893DB6-6441-4AD5-95B3-4FAB066F4499}" xr6:coauthVersionLast="47" xr6:coauthVersionMax="47" xr10:uidLastSave="{00000000-0000-0000-0000-000000000000}"/>
  <bookViews>
    <workbookView xWindow="23880" yWindow="1830" windowWidth="20730" windowHeight="11040" firstSheet="2" activeTab="5" xr2:uid="{A2A130E2-3057-4222-B536-3D4E627EE3A6}"/>
  </bookViews>
  <sheets>
    <sheet name="MEDIDORES" sheetId="3" state="hidden" r:id="rId1"/>
    <sheet name="METODOS" sheetId="2" state="hidden" r:id="rId2"/>
    <sheet name="TABLA PROYECCION" sheetId="8" r:id="rId3"/>
    <sheet name="Hoja1" sheetId="10" r:id="rId4"/>
    <sheet name="kpi (2)" sheetId="9" r:id="rId5"/>
    <sheet name="kpi" sheetId="7" r:id="rId6"/>
  </sheet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0" l="1"/>
  <c r="J16" i="10" s="1"/>
  <c r="H9" i="10"/>
  <c r="I8" i="10"/>
  <c r="I21" i="10" l="1"/>
  <c r="C21" i="10" l="1"/>
  <c r="I7" i="10"/>
  <c r="I6" i="10"/>
  <c r="I5" i="10"/>
  <c r="I4" i="10"/>
  <c r="F7" i="10"/>
  <c r="F6" i="10"/>
  <c r="F5" i="10"/>
  <c r="F4" i="10"/>
  <c r="C5" i="10"/>
  <c r="C6" i="10"/>
  <c r="C7" i="10"/>
  <c r="C4" i="10"/>
  <c r="I9" i="10" l="1"/>
  <c r="J9" i="10" s="1"/>
  <c r="J10" i="10" s="1"/>
  <c r="I3" i="8" l="1"/>
  <c r="I5" i="8" l="1"/>
  <c r="I4" i="8"/>
  <c r="I8" i="8"/>
  <c r="H8" i="8"/>
  <c r="D3" i="8"/>
  <c r="F6" i="8" s="1"/>
  <c r="C14" i="8"/>
  <c r="C13" i="8"/>
  <c r="C12" i="8"/>
  <c r="C11" i="8"/>
  <c r="H7" i="8"/>
  <c r="E7" i="8"/>
  <c r="H6" i="8"/>
  <c r="E6" i="8"/>
  <c r="H5" i="8"/>
  <c r="E5" i="8"/>
  <c r="H4" i="8"/>
  <c r="E4" i="8"/>
  <c r="H3" i="8"/>
  <c r="I16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E8" i="2"/>
  <c r="E7" i="2"/>
  <c r="B4" i="2"/>
  <c r="E3" i="2"/>
  <c r="B3" i="2"/>
  <c r="R7" i="3"/>
  <c r="Q7" i="3"/>
  <c r="P7" i="3"/>
  <c r="R6" i="3"/>
  <c r="Q6" i="3"/>
  <c r="P6" i="3"/>
  <c r="O6" i="3"/>
  <c r="N6" i="3"/>
  <c r="M6" i="3"/>
  <c r="L6" i="3"/>
  <c r="K6" i="3"/>
  <c r="J6" i="3"/>
  <c r="R5" i="3"/>
  <c r="Q5" i="3"/>
  <c r="P5" i="3"/>
  <c r="O5" i="3"/>
  <c r="N5" i="3"/>
  <c r="M5" i="3"/>
  <c r="L5" i="3"/>
  <c r="K5" i="3"/>
  <c r="J5" i="3"/>
  <c r="R4" i="3"/>
  <c r="Q4" i="3"/>
  <c r="P4" i="3"/>
  <c r="O4" i="3"/>
  <c r="N4" i="3"/>
  <c r="M4" i="3"/>
  <c r="L4" i="3"/>
  <c r="K4" i="3"/>
  <c r="J4" i="3"/>
  <c r="R3" i="3"/>
  <c r="Q3" i="3"/>
  <c r="P3" i="3"/>
  <c r="O3" i="3"/>
  <c r="N3" i="3"/>
  <c r="M3" i="3"/>
  <c r="L3" i="3"/>
  <c r="K3" i="3"/>
  <c r="J3" i="3"/>
  <c r="R2" i="3"/>
  <c r="Q2" i="3"/>
  <c r="P2" i="3"/>
  <c r="O2" i="3"/>
  <c r="N2" i="3"/>
  <c r="M2" i="3"/>
  <c r="L2" i="3"/>
  <c r="K2" i="3"/>
  <c r="J2" i="3"/>
  <c r="Q1" i="3"/>
  <c r="F7" i="8" l="1"/>
  <c r="F4" i="8"/>
  <c r="F5" i="8"/>
</calcChain>
</file>

<file path=xl/sharedStrings.xml><?xml version="1.0" encoding="utf-8"?>
<sst xmlns="http://schemas.openxmlformats.org/spreadsheetml/2006/main" count="118" uniqueCount="81">
  <si>
    <t>BALANCE HÍDRICO</t>
  </si>
  <si>
    <t>MEDIDOR</t>
  </si>
  <si>
    <t>CONSOLIDADO DIC</t>
  </si>
  <si>
    <t>MEDIDOR RETORNO</t>
  </si>
  <si>
    <t>KG TINTORERIA</t>
  </si>
  <si>
    <t>KG</t>
  </si>
  <si>
    <t>MEDIDOR PRINCIPAL</t>
  </si>
  <si>
    <t>INDICADOR INGENIERIA</t>
  </si>
  <si>
    <t>L/KG</t>
  </si>
  <si>
    <t>MEDIDOR ELIAR</t>
  </si>
  <si>
    <t>ABASTECIMIENTO RO</t>
  </si>
  <si>
    <t>MEDIDOR 2"</t>
  </si>
  <si>
    <t>ABASTECIMIENTO PTAP</t>
  </si>
  <si>
    <t>MEDIDOR TH</t>
  </si>
  <si>
    <t>ABASTECIMIENTO CT</t>
  </si>
  <si>
    <t>MEDIDOR GEM</t>
  </si>
  <si>
    <t>PURGAS PTAP</t>
  </si>
  <si>
    <t>CONSUMO LAVANDERIA</t>
  </si>
  <si>
    <t>MULAS</t>
  </si>
  <si>
    <t>CONSUMO ROTATIVA</t>
  </si>
  <si>
    <t>MEDIDOR AGUA CALIENTE</t>
  </si>
  <si>
    <t>BALANCE 2025 DICIEMBRE</t>
  </si>
  <si>
    <t>METODO MEDIDOR PRINCIPAL</t>
  </si>
  <si>
    <t>METODO MEDIDOR PRINCIPAL MENOS RETORNO DOBLE</t>
  </si>
  <si>
    <t>METODO MEDIDOR ELIAR 2025</t>
  </si>
  <si>
    <t>METODO MEDIDOR TH</t>
  </si>
  <si>
    <t>METODO MEDIDOR TH CON RETORNO</t>
  </si>
  <si>
    <t>METODO MEDIDOR TH SIN RESTAR ROTATIVA A TINTORERIA</t>
  </si>
  <si>
    <t>METODO MEDIDOR GEM</t>
  </si>
  <si>
    <t>TOTAL CONSUMO PRODUCCIÓN</t>
  </si>
  <si>
    <t>TOTAL ACUEDUCTO</t>
  </si>
  <si>
    <t>TOTAL CONSUMO TINTORERIA</t>
  </si>
  <si>
    <t>TOTAL INDICADOR TINTORERIA</t>
  </si>
  <si>
    <t>REPORTADO</t>
  </si>
  <si>
    <t>CARROTANQUES TK QUIMICOS</t>
  </si>
  <si>
    <t>ACUEDUCTO ELIAR</t>
  </si>
  <si>
    <t>ACUEDUCTO GARITA</t>
  </si>
  <si>
    <t>RETORNO SCLAVOS</t>
  </si>
  <si>
    <t>PRINCIPAL</t>
  </si>
  <si>
    <t>FECHA</t>
  </si>
  <si>
    <t>CARROTANQUES COMPRESORES</t>
  </si>
  <si>
    <t>ACUEDUCTO ELIAR CALLE</t>
  </si>
  <si>
    <t>SUMATORIA</t>
  </si>
  <si>
    <t>DIFERENCIA</t>
  </si>
  <si>
    <t>VOLUMEN RECHAZO RO</t>
  </si>
  <si>
    <t>VOLUMEN PERMEADO RO</t>
  </si>
  <si>
    <t>VOLUMEN VERTIMIENTO MBRS</t>
  </si>
  <si>
    <t>VOLUMEN VERTIMIENTO GEM</t>
  </si>
  <si>
    <t>VOLUMEN INGRESO RO</t>
  </si>
  <si>
    <t>VOLUMEN TRATADO GEM</t>
  </si>
  <si>
    <t>%</t>
  </si>
  <si>
    <t>(m3)</t>
  </si>
  <si>
    <t>CARRO TANQUES</t>
  </si>
  <si>
    <t xml:space="preserve">ACUEDUCTO </t>
  </si>
  <si>
    <t>PTAP (Costo de Tratamiento de Agua de Pozo Sin depreciación)</t>
  </si>
  <si>
    <t>OSMOSIS INVERSA (Costo procesar por RO - OPEX) SIN DEPRECIACIÓN</t>
  </si>
  <si>
    <t>FUENTES ABASTECIMIENTO</t>
  </si>
  <si>
    <t>PTAR (Costo de Tratamiento hasta Fase 2 - Cumplimiento Ambiental) OPEX SIN DEPRECIACIÓN</t>
  </si>
  <si>
    <t xml:space="preserve">TRATAMIENTO DE AGUA RESIDUAL </t>
  </si>
  <si>
    <t>Porcentaje</t>
  </si>
  <si>
    <t>Volumen (M3)</t>
  </si>
  <si>
    <t>$ Total</t>
  </si>
  <si>
    <t>$/m3</t>
  </si>
  <si>
    <t>REAL</t>
  </si>
  <si>
    <t>PROYECCIÓN</t>
  </si>
  <si>
    <t>Monitoreo de Costos de Abastecimiento: Real vs. Proyectado</t>
  </si>
  <si>
    <t>INFORME  PTAR  - 01 - 31 MARZO  2026</t>
  </si>
  <si>
    <t>ENERO</t>
  </si>
  <si>
    <t>FEBRERO</t>
  </si>
  <si>
    <t>MARZO</t>
  </si>
  <si>
    <t>Volumen (m3)</t>
  </si>
  <si>
    <t>$ TOTAL</t>
  </si>
  <si>
    <t>$m3</t>
  </si>
  <si>
    <t>FUENTE</t>
  </si>
  <si>
    <t>Costos de abastecimiento por fuente de enero, febrero y marzo Bogotá</t>
  </si>
  <si>
    <t>Costos de abastecimiento por fuente de enero, febrero y marzo Funza</t>
  </si>
  <si>
    <t>PTAP (Costo de Tratamiento de Agua de Pozo )</t>
  </si>
  <si>
    <t>TRATAMIENTO</t>
  </si>
  <si>
    <t>TOTAL ABASTECIMIENTO</t>
  </si>
  <si>
    <t>FUNZA</t>
  </si>
  <si>
    <t>INFORME  PTAR  - 01 - 15 ABRIL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</si>
</sst>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&quot;$&quot;\ #,##0"/>
    <numFmt numFmtId="167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9">
    <xf numFmtId="0" fontId="0" fillId="0" borderId="0" xfId="0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3" fillId="0" borderId="0" xfId="0" applyFont="1" applyAlignment="1">
      <alignment horizontal="center"/>
    </xf>
    <xf numFmtId="164" fontId="0" fillId="0" borderId="0" xfId="1" applyNumberFormat="1" applyFont="1"/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0" fillId="0" borderId="12" xfId="0" applyBorder="1"/>
    <xf numFmtId="164" fontId="2" fillId="0" borderId="12" xfId="0" applyNumberFormat="1" applyFont="1" applyBorder="1"/>
    <xf numFmtId="164" fontId="0" fillId="0" borderId="12" xfId="0" applyNumberFormat="1" applyBorder="1"/>
    <xf numFmtId="164" fontId="5" fillId="0" borderId="12" xfId="0" applyNumberFormat="1" applyFont="1" applyBorder="1"/>
    <xf numFmtId="165" fontId="2" fillId="0" borderId="12" xfId="0" applyNumberFormat="1" applyFont="1" applyBorder="1"/>
    <xf numFmtId="165" fontId="0" fillId="0" borderId="12" xfId="0" applyNumberFormat="1" applyBorder="1"/>
    <xf numFmtId="165" fontId="5" fillId="0" borderId="12" xfId="0" applyNumberFormat="1" applyFont="1" applyBorder="1"/>
    <xf numFmtId="43" fontId="0" fillId="0" borderId="12" xfId="0" applyNumberFormat="1" applyBorder="1"/>
    <xf numFmtId="0" fontId="0" fillId="0" borderId="12" xfId="0" applyBorder="1" applyAlignment="1">
      <alignment horizontal="center" vertical="top"/>
    </xf>
    <xf numFmtId="43" fontId="3" fillId="0" borderId="0" xfId="0" applyNumberFormat="1" applyFont="1"/>
    <xf numFmtId="0" fontId="0" fillId="0" borderId="12" xfId="0" applyBorder="1" applyAlignment="1">
      <alignment horizontal="center" vertical="center" wrapText="1"/>
    </xf>
    <xf numFmtId="16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0" xfId="0" applyNumberFormat="1"/>
    <xf numFmtId="1" fontId="0" fillId="0" borderId="12" xfId="0" applyNumberFormat="1" applyBorder="1"/>
    <xf numFmtId="1" fontId="0" fillId="5" borderId="13" xfId="0" applyNumberFormat="1" applyFill="1" applyBorder="1"/>
    <xf numFmtId="0" fontId="0" fillId="5" borderId="13" xfId="0" applyFill="1" applyBorder="1"/>
    <xf numFmtId="10" fontId="0" fillId="6" borderId="0" xfId="2" applyNumberFormat="1" applyFont="1" applyFill="1" applyAlignment="1">
      <alignment horizontal="left"/>
    </xf>
    <xf numFmtId="10" fontId="0" fillId="3" borderId="14" xfId="2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0" fontId="6" fillId="3" borderId="15" xfId="0" applyFont="1" applyFill="1" applyBorder="1"/>
    <xf numFmtId="10" fontId="0" fillId="3" borderId="16" xfId="2" applyNumberFormat="1" applyFont="1" applyFill="1" applyBorder="1" applyAlignment="1">
      <alignment horizontal="center"/>
    </xf>
    <xf numFmtId="0" fontId="6" fillId="3" borderId="17" xfId="0" applyFont="1" applyFill="1" applyBorder="1"/>
    <xf numFmtId="10" fontId="0" fillId="6" borderId="0" xfId="0" applyNumberFormat="1" applyFill="1" applyAlignment="1">
      <alignment horizontal="left"/>
    </xf>
    <xf numFmtId="0" fontId="0" fillId="6" borderId="0" xfId="0" applyFill="1"/>
    <xf numFmtId="9" fontId="0" fillId="3" borderId="16" xfId="2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6" fontId="7" fillId="0" borderId="21" xfId="0" applyNumberFormat="1" applyFont="1" applyBorder="1" applyAlignment="1">
      <alignment horizontal="center" vertical="center" wrapText="1"/>
    </xf>
    <xf numFmtId="166" fontId="7" fillId="0" borderId="22" xfId="0" applyNumberFormat="1" applyFont="1" applyBorder="1" applyAlignment="1">
      <alignment horizontal="center" vertical="center" wrapText="1"/>
    </xf>
    <xf numFmtId="10" fontId="7" fillId="3" borderId="23" xfId="2" applyNumberFormat="1" applyFont="1" applyFill="1" applyBorder="1" applyAlignment="1">
      <alignment horizontal="center" vertical="center"/>
    </xf>
    <xf numFmtId="10" fontId="7" fillId="3" borderId="24" xfId="2" applyNumberFormat="1" applyFont="1" applyFill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6" fontId="7" fillId="0" borderId="26" xfId="0" applyNumberFormat="1" applyFont="1" applyBorder="1" applyAlignment="1">
      <alignment horizontal="center" vertical="center" wrapText="1"/>
    </xf>
    <xf numFmtId="166" fontId="7" fillId="0" borderId="27" xfId="0" applyNumberFormat="1" applyFont="1" applyBorder="1" applyAlignment="1">
      <alignment horizontal="center" vertical="center" wrapText="1"/>
    </xf>
    <xf numFmtId="10" fontId="7" fillId="3" borderId="28" xfId="2" applyNumberFormat="1" applyFont="1" applyFill="1" applyBorder="1" applyAlignment="1">
      <alignment horizontal="center" vertical="center"/>
    </xf>
    <xf numFmtId="10" fontId="7" fillId="3" borderId="29" xfId="2" applyNumberFormat="1" applyFont="1" applyFill="1" applyBorder="1" applyAlignment="1">
      <alignment horizontal="center" vertical="center"/>
    </xf>
    <xf numFmtId="3" fontId="7" fillId="0" borderId="30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166" fontId="7" fillId="0" borderId="31" xfId="0" applyNumberFormat="1" applyFont="1" applyBorder="1" applyAlignment="1">
      <alignment horizontal="center" vertical="center" wrapText="1"/>
    </xf>
    <xf numFmtId="166" fontId="7" fillId="0" borderId="32" xfId="0" applyNumberFormat="1" applyFont="1" applyBorder="1" applyAlignment="1">
      <alignment horizontal="center" vertical="center" wrapText="1"/>
    </xf>
    <xf numFmtId="3" fontId="7" fillId="0" borderId="28" xfId="0" applyNumberFormat="1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166" fontId="7" fillId="7" borderId="19" xfId="0" applyNumberFormat="1" applyFont="1" applyFill="1" applyBorder="1" applyAlignment="1">
      <alignment horizontal="center" vertical="center" wrapText="1"/>
    </xf>
    <xf numFmtId="166" fontId="7" fillId="7" borderId="33" xfId="0" applyNumberFormat="1" applyFont="1" applyFill="1" applyBorder="1" applyAlignment="1">
      <alignment horizontal="center" vertical="center" wrapText="1"/>
    </xf>
    <xf numFmtId="9" fontId="7" fillId="7" borderId="34" xfId="2" applyFont="1" applyFill="1" applyBorder="1" applyAlignment="1">
      <alignment horizontal="center" vertical="center"/>
    </xf>
    <xf numFmtId="9" fontId="7" fillId="7" borderId="33" xfId="2" applyFont="1" applyFill="1" applyBorder="1" applyAlignment="1">
      <alignment horizontal="center" vertical="center"/>
    </xf>
    <xf numFmtId="3" fontId="7" fillId="7" borderId="34" xfId="0" applyNumberFormat="1" applyFont="1" applyFill="1" applyBorder="1" applyAlignment="1">
      <alignment horizontal="center" vertical="center"/>
    </xf>
    <xf numFmtId="3" fontId="7" fillId="7" borderId="33" xfId="0" applyNumberFormat="1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textRotation="90" wrapText="1"/>
    </xf>
    <xf numFmtId="0" fontId="9" fillId="0" borderId="3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66" fontId="7" fillId="0" borderId="37" xfId="0" applyNumberFormat="1" applyFont="1" applyBorder="1" applyAlignment="1">
      <alignment horizontal="center" vertical="center" wrapText="1"/>
    </xf>
    <xf numFmtId="167" fontId="0" fillId="0" borderId="0" xfId="3" applyNumberFormat="1" applyFont="1"/>
    <xf numFmtId="166" fontId="0" fillId="0" borderId="0" xfId="0" applyNumberFormat="1"/>
    <xf numFmtId="167" fontId="0" fillId="0" borderId="0" xfId="3" applyNumberFormat="1" applyFont="1" applyAlignment="1">
      <alignment horizontal="center" vertical="center"/>
    </xf>
    <xf numFmtId="0" fontId="8" fillId="3" borderId="22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3" fontId="7" fillId="3" borderId="29" xfId="0" applyNumberFormat="1" applyFont="1" applyFill="1" applyBorder="1" applyAlignment="1">
      <alignment horizontal="center" vertical="center"/>
    </xf>
    <xf numFmtId="167" fontId="7" fillId="3" borderId="39" xfId="3" applyNumberFormat="1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 wrapText="1"/>
    </xf>
    <xf numFmtId="3" fontId="7" fillId="3" borderId="27" xfId="0" applyNumberFormat="1" applyFont="1" applyFill="1" applyBorder="1" applyAlignment="1">
      <alignment horizontal="center" vertical="center"/>
    </xf>
    <xf numFmtId="167" fontId="7" fillId="3" borderId="30" xfId="3" applyNumberFormat="1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3" fontId="7" fillId="3" borderId="22" xfId="0" applyNumberFormat="1" applyFont="1" applyFill="1" applyBorder="1" applyAlignment="1">
      <alignment horizontal="center" vertical="center"/>
    </xf>
    <xf numFmtId="167" fontId="7" fillId="3" borderId="46" xfId="3" applyNumberFormat="1" applyFont="1" applyFill="1" applyBorder="1" applyAlignment="1">
      <alignment horizontal="center" vertical="center"/>
    </xf>
    <xf numFmtId="167" fontId="7" fillId="3" borderId="25" xfId="3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7" fillId="3" borderId="42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167" fontId="7" fillId="3" borderId="0" xfId="3" applyNumberFormat="1" applyFont="1" applyFill="1" applyBorder="1" applyAlignment="1">
      <alignment horizontal="center" vertical="center"/>
    </xf>
    <xf numFmtId="167" fontId="0" fillId="3" borderId="0" xfId="0" applyNumberFormat="1" applyFill="1"/>
    <xf numFmtId="164" fontId="0" fillId="3" borderId="0" xfId="1" applyNumberFormat="1" applyFont="1" applyFill="1"/>
    <xf numFmtId="0" fontId="0" fillId="3" borderId="0" xfId="0" applyFill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textRotation="90" wrapText="1"/>
    </xf>
    <xf numFmtId="0" fontId="8" fillId="0" borderId="27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horizontal="center" vertical="center" textRotation="90" wrapText="1"/>
    </xf>
    <xf numFmtId="0" fontId="9" fillId="0" borderId="32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3" borderId="20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9" fillId="3" borderId="38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EE2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</a:t>
            </a:r>
            <a:r>
              <a:rPr lang="es-CO" baseline="0"/>
              <a:t> </a:t>
            </a:r>
            <a:r>
              <a:rPr lang="es-CO"/>
              <a:t>TRATABILIDAD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5E-4661-B32B-815860C48DB4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5E-4661-B32B-815860C48DB4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5E-4661-B32B-815860C48DB4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5E-4661-B32B-815860C48DB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5E-4661-B32B-815860C48DB4}"/>
              </c:ext>
            </c:extLst>
          </c:dPt>
          <c:dLbls>
            <c:dLbl>
              <c:idx val="0"/>
              <c:layout>
                <c:manualLayout>
                  <c:x val="2.3592380013380733E-4"/>
                  <c:y val="1.236806327115373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5E-4661-B32B-815860C48D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DBEE24-8C5B-45F7-BEB1-CC40F1012A81}" type="VALUE">
                      <a:rPr lang="en-US"/>
                      <a:pPr/>
                      <a:t>[VALOR]</a:t>
                    </a:fld>
                    <a:r>
                      <a:rPr lang="en-US" baseline="0"/>
                      <a:t>; 82,56%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95E-4661-B32B-815860C48DB4}"/>
                </c:ext>
              </c:extLst>
            </c:dLbl>
            <c:dLbl>
              <c:idx val="3"/>
              <c:layout>
                <c:manualLayout>
                  <c:x val="-0.22516316710411199"/>
                  <c:y val="-1.8518518518518604E-2"/>
                </c:manualLayout>
              </c:layout>
              <c:tx>
                <c:rich>
                  <a:bodyPr/>
                  <a:lstStyle/>
                  <a:p>
                    <a:fld id="{A3F5DD04-34F7-4E95-93C6-D838F6EE3F26}" type="VALUE">
                      <a:rPr lang="en-US"/>
                      <a:pPr/>
                      <a:t>[VALOR]</a:t>
                    </a:fld>
                    <a:r>
                      <a:rPr lang="en-US" baseline="0"/>
                      <a:t>; 17,44%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95E-4661-B32B-815860C48DB4}"/>
                </c:ext>
              </c:extLst>
            </c:dLbl>
            <c:dLbl>
              <c:idx val="4"/>
              <c:layout>
                <c:manualLayout>
                  <c:x val="-0.14744115109686962"/>
                  <c:y val="-8.5093943210144739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5E-4661-B32B-815860C48DB4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PROYECCION'!$A$13:$A$16</c:f>
              <c:strCache>
                <c:ptCount val="4"/>
                <c:pt idx="0">
                  <c:v>VOLUMEN VERTIMIENTO GEM</c:v>
                </c:pt>
                <c:pt idx="1">
                  <c:v>VOLUMEN VERTIMIENTO MBRS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'TABLA PROYECCION'!$B$13:$B$16</c:f>
              <c:numCache>
                <c:formatCode>#,##0</c:formatCode>
                <c:ptCount val="4"/>
                <c:pt idx="0">
                  <c:v>4797</c:v>
                </c:pt>
                <c:pt idx="1">
                  <c:v>2119</c:v>
                </c:pt>
                <c:pt idx="2">
                  <c:v>6810</c:v>
                </c:pt>
                <c:pt idx="3">
                  <c:v>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5E-4661-B32B-815860C48D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emf"/><Relationship Id="rId5" Type="http://schemas.openxmlformats.org/officeDocument/2006/relationships/image" Target="../media/image11.png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87795</xdr:colOff>
      <xdr:row>9</xdr:row>
      <xdr:rowOff>188263</xdr:rowOff>
    </xdr:from>
    <xdr:to>
      <xdr:col>9</xdr:col>
      <xdr:colOff>114299</xdr:colOff>
      <xdr:row>24</xdr:row>
      <xdr:rowOff>93924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309CD3-3261-4EC6-B87E-3B520AEA6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0.22858</cdr:x>
      <cdr:y>0.69549</cdr:y>
    </cdr:from>
    <cdr:to>
      <cdr:x>0.50753</cdr:x>
      <cdr:y>0.79827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A546213-D8A8-0608-1503-6C8BA16768F3}"/>
            </a:ext>
          </a:extLst>
        </cdr:cNvPr>
        <cdr:cNvSpPr txBox="1"/>
      </cdr:nvSpPr>
      <cdr:spPr>
        <a:xfrm xmlns:a="http://schemas.openxmlformats.org/drawingml/2006/main">
          <a:off x="904463" y="1908283"/>
          <a:ext cx="1103817" cy="28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CO" sz="1200" b="1" kern="1200">
              <a:solidFill>
                <a:schemeClr val="bg1"/>
              </a:solidFill>
            </a:rPr>
            <a:t>15.280 ; 100%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10</xdr:row>
      <xdr:rowOff>129071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B3ED66-7047-4444-8483-933F3A1D2E95}"/>
            </a:ext>
          </a:extLst>
        </xdr:cNvPr>
        <xdr:cNvSpPr txBox="1"/>
      </xdr:nvSpPr>
      <xdr:spPr>
        <a:xfrm>
          <a:off x="882015" y="516208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10</xdr:row>
      <xdr:rowOff>36089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844125A-16FB-4E8B-9C4D-A76573D4DB22}"/>
            </a:ext>
          </a:extLst>
        </xdr:cNvPr>
        <xdr:cNvSpPr txBox="1"/>
      </xdr:nvSpPr>
      <xdr:spPr>
        <a:xfrm>
          <a:off x="1051280" y="506528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0</xdr:col>
      <xdr:colOff>168088</xdr:colOff>
      <xdr:row>3</xdr:row>
      <xdr:rowOff>123264</xdr:rowOff>
    </xdr:from>
    <xdr:to>
      <xdr:col>13</xdr:col>
      <xdr:colOff>255534</xdr:colOff>
      <xdr:row>6</xdr:row>
      <xdr:rowOff>415729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9829BE0-4391-9F1B-BAA7-FE15F161C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88" y="750793"/>
          <a:ext cx="10436190" cy="2176959"/>
        </a:xfrm>
        <a:prstGeom prst="rect">
          <a:avLst/>
        </a:prstGeom>
      </xdr:spPr>
    </xdr:pic>
    <xdr:clientData/>
  </xdr:twoCellAnchor>
  <xdr:twoCellAnchor editAs="oneCell">
    <xdr:from>
      <xdr:col>0</xdr:col>
      <xdr:colOff>158788</xdr:colOff>
      <xdr:row>6</xdr:row>
      <xdr:rowOff>524772</xdr:rowOff>
    </xdr:from>
    <xdr:to>
      <xdr:col>13</xdr:col>
      <xdr:colOff>250044</xdr:colOff>
      <xdr:row>11</xdr:row>
      <xdr:rowOff>492586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3EBCED0-B90D-3CED-D8ED-2672D956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88" y="3640007"/>
          <a:ext cx="10434285" cy="3103556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235324</xdr:colOff>
      <xdr:row>11</xdr:row>
      <xdr:rowOff>717176</xdr:rowOff>
    </xdr:from>
    <xdr:to>
      <xdr:col>2</xdr:col>
      <xdr:colOff>671012</xdr:colOff>
      <xdr:row>14</xdr:row>
      <xdr:rowOff>391375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3DEAC45-D105-EF5D-E4CF-99E8D8BF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324" y="6364941"/>
          <a:ext cx="2026923" cy="21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33619</xdr:colOff>
      <xdr:row>11</xdr:row>
      <xdr:rowOff>728382</xdr:rowOff>
    </xdr:from>
    <xdr:to>
      <xdr:col>6</xdr:col>
      <xdr:colOff>782810</xdr:colOff>
      <xdr:row>14</xdr:row>
      <xdr:rowOff>402581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6E0CCB7-79D1-EDE2-3A60-6C0146BA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20472" y="6376147"/>
          <a:ext cx="3136044" cy="2161905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224118</xdr:colOff>
      <xdr:row>11</xdr:row>
      <xdr:rowOff>762000</xdr:rowOff>
    </xdr:from>
    <xdr:to>
      <xdr:col>12</xdr:col>
      <xdr:colOff>719764</xdr:colOff>
      <xdr:row>12</xdr:row>
      <xdr:rowOff>650860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B9F0CC1-63C0-3A3A-A2F0-A6542451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3442" y="6409765"/>
          <a:ext cx="4473734" cy="718095"/>
        </a:xfrm>
        <a:prstGeom prst="rect">
          <a:avLst/>
        </a:prstGeom>
      </xdr:spPr>
    </xdr:pic>
    <xdr:clientData/>
  </xdr:twoCellAnchor>
  <xdr:twoCellAnchor editAs="oneCell">
    <xdr:from>
      <xdr:col>7</xdr:col>
      <xdr:colOff>217393</xdr:colOff>
      <xdr:row>12</xdr:row>
      <xdr:rowOff>773204</xdr:rowOff>
    </xdr:from>
    <xdr:to>
      <xdr:col>12</xdr:col>
      <xdr:colOff>756120</xdr:colOff>
      <xdr:row>13</xdr:row>
      <xdr:rowOff>510987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1846895-9E5E-F3FB-45A9-4508D6818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9652" y="7326404"/>
          <a:ext cx="4483197" cy="571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10</xdr:row>
      <xdr:rowOff>129071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18264AD-81E3-4964-B174-34D2857C017C}"/>
            </a:ext>
          </a:extLst>
        </xdr:cNvPr>
        <xdr:cNvSpPr txBox="1"/>
      </xdr:nvSpPr>
      <xdr:spPr>
        <a:xfrm>
          <a:off x="1390650" y="204169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10</xdr:row>
      <xdr:rowOff>36089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E26C747-C065-4621-9EDB-047D1F7A260B}"/>
            </a:ext>
          </a:extLst>
        </xdr:cNvPr>
        <xdr:cNvSpPr txBox="1"/>
      </xdr:nvSpPr>
      <xdr:spPr>
        <a:xfrm>
          <a:off x="1558010" y="19487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twoCellAnchor editAs="oneCell">
    <xdr:from>
      <xdr:col>0</xdr:col>
      <xdr:colOff>112059</xdr:colOff>
      <xdr:row>3</xdr:row>
      <xdr:rowOff>67235</xdr:rowOff>
    </xdr:from>
    <xdr:to>
      <xdr:col>13</xdr:col>
      <xdr:colOff>205220</xdr:colOff>
      <xdr:row>7</xdr:row>
      <xdr:rowOff>201069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DFD0608-6450-F1DC-6284-01E0A5F16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694764"/>
          <a:ext cx="10436190" cy="2643952"/>
        </a:xfrm>
        <a:prstGeom prst="rect">
          <a:avLst/>
        </a:prstGeom>
      </xdr:spPr>
    </xdr:pic>
    <xdr:clientData/>
  </xdr:twoCellAnchor>
  <xdr:twoCellAnchor editAs="oneCell">
    <xdr:from>
      <xdr:col>0</xdr:col>
      <xdr:colOff>147584</xdr:colOff>
      <xdr:row>10</xdr:row>
      <xdr:rowOff>151166</xdr:rowOff>
    </xdr:from>
    <xdr:to>
      <xdr:col>2</xdr:col>
      <xdr:colOff>664958</xdr:colOff>
      <xdr:row>13</xdr:row>
      <xdr:rowOff>558426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6446125-F19B-4F29-59CB-24EF11BD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584" y="5171401"/>
          <a:ext cx="2108609" cy="2289849"/>
        </a:xfrm>
        <a:prstGeom prst="rect">
          <a:avLst/>
        </a:prstGeom>
      </xdr:spPr>
    </xdr:pic>
    <xdr:clientData/>
  </xdr:twoCellAnchor>
  <xdr:twoCellAnchor editAs="oneCell">
    <xdr:from>
      <xdr:col>3</xdr:col>
      <xdr:colOff>85837</xdr:colOff>
      <xdr:row>10</xdr:row>
      <xdr:rowOff>169993</xdr:rowOff>
    </xdr:from>
    <xdr:to>
      <xdr:col>7</xdr:col>
      <xdr:colOff>35301</xdr:colOff>
      <xdr:row>13</xdr:row>
      <xdr:rowOff>443594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CC3E2DA-20FD-1657-4AFC-1A05278F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2690" y="5190228"/>
          <a:ext cx="3131935" cy="2156190"/>
        </a:xfrm>
        <a:prstGeom prst="rect">
          <a:avLst/>
        </a:prstGeom>
      </xdr:spPr>
    </xdr:pic>
    <xdr:clientData/>
  </xdr:twoCellAnchor>
  <xdr:twoCellAnchor editAs="oneCell">
    <xdr:from>
      <xdr:col>7</xdr:col>
      <xdr:colOff>493059</xdr:colOff>
      <xdr:row>10</xdr:row>
      <xdr:rowOff>205516</xdr:rowOff>
    </xdr:from>
    <xdr:to>
      <xdr:col>13</xdr:col>
      <xdr:colOff>182529</xdr:colOff>
      <xdr:row>11</xdr:row>
      <xdr:rowOff>296081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23A9992-0106-B435-26DA-C786FD97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2383" y="5225751"/>
          <a:ext cx="4463175" cy="718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123265</xdr:colOff>
      <xdr:row>7</xdr:row>
      <xdr:rowOff>246530</xdr:rowOff>
    </xdr:from>
    <xdr:to>
      <xdr:col>13</xdr:col>
      <xdr:colOff>216426</xdr:colOff>
      <xdr:row>10</xdr:row>
      <xdr:rowOff>6017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5AB7E69-7ACA-3E18-32C1-A12D791AB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265" y="3384177"/>
          <a:ext cx="10436190" cy="1642075"/>
        </a:xfrm>
        <a:prstGeom prst="rect">
          <a:avLst/>
        </a:prstGeom>
      </xdr:spPr>
    </xdr:pic>
    <xdr:clientData/>
  </xdr:twoCellAnchor>
  <xdr:twoCellAnchor editAs="oneCell">
    <xdr:from>
      <xdr:col>7</xdr:col>
      <xdr:colOff>459440</xdr:colOff>
      <xdr:row>11</xdr:row>
      <xdr:rowOff>511659</xdr:rowOff>
    </xdr:from>
    <xdr:to>
      <xdr:col>13</xdr:col>
      <xdr:colOff>176056</xdr:colOff>
      <xdr:row>12</xdr:row>
      <xdr:rowOff>425823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DA192AD-B142-5BE6-CCBA-3DEC0957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8764" y="6159424"/>
          <a:ext cx="4490321" cy="541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34E606-4B1F-48DB-8FF4-2B8C618235C7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cb3debb8-6c93-4486-a2cc-41c1b54d7a82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D2C4-7680-4364-9D17-AB475F17C160}">
  <dimension ref="A1:R7"/>
  <sheetViews>
    <sheetView topLeftCell="E1" workbookViewId="0">
      <selection activeCell="Q8" sqref="Q8"/>
    </sheetView>
  </sheetViews>
  <sheetFormatPr baseColWidth="10" defaultRowHeight="14.4" x14ac:dyDescent="0.3"/>
  <cols>
    <col min="2" max="2" width="14.6640625" customWidth="1"/>
    <col min="7" max="7" width="14.44140625" customWidth="1"/>
    <col min="10" max="10" width="15.77734375" customWidth="1"/>
    <col min="15" max="15" width="16.21875" customWidth="1"/>
  </cols>
  <sheetData>
    <row r="1" spans="1:18" ht="43.2" x14ac:dyDescent="0.3">
      <c r="A1" s="26" t="s">
        <v>39</v>
      </c>
      <c r="B1" s="26" t="s">
        <v>34</v>
      </c>
      <c r="C1" s="26" t="s">
        <v>41</v>
      </c>
      <c r="D1" s="26" t="s">
        <v>35</v>
      </c>
      <c r="E1" s="26" t="s">
        <v>36</v>
      </c>
      <c r="F1" s="26" t="s">
        <v>37</v>
      </c>
      <c r="G1" s="26" t="s">
        <v>40</v>
      </c>
      <c r="H1" s="26" t="s">
        <v>38</v>
      </c>
      <c r="J1" s="26" t="s">
        <v>34</v>
      </c>
      <c r="K1" s="26" t="s">
        <v>41</v>
      </c>
      <c r="L1" s="26" t="s">
        <v>35</v>
      </c>
      <c r="M1" s="26" t="s">
        <v>36</v>
      </c>
      <c r="N1" s="26" t="s">
        <v>37</v>
      </c>
      <c r="O1" s="26" t="s">
        <v>40</v>
      </c>
      <c r="P1" s="26" t="s">
        <v>42</v>
      </c>
      <c r="Q1" s="26" t="str">
        <f>+H1</f>
        <v>PRINCIPAL</v>
      </c>
      <c r="R1" s="26" t="s">
        <v>43</v>
      </c>
    </row>
    <row r="2" spans="1:18" x14ac:dyDescent="0.3">
      <c r="A2" s="27">
        <v>46050</v>
      </c>
      <c r="B2" s="28">
        <v>64088</v>
      </c>
      <c r="C2" s="28">
        <v>6954</v>
      </c>
      <c r="D2" s="28">
        <v>85936</v>
      </c>
      <c r="E2" s="28">
        <v>42423</v>
      </c>
      <c r="F2" s="28">
        <v>26122650</v>
      </c>
      <c r="G2" s="28">
        <v>64904</v>
      </c>
      <c r="H2" s="28">
        <v>5201</v>
      </c>
      <c r="J2" s="16">
        <f t="shared" ref="J2:M6" si="0">(B3-B2)</f>
        <v>0</v>
      </c>
      <c r="K2" s="16">
        <f t="shared" si="0"/>
        <v>1</v>
      </c>
      <c r="L2" s="16">
        <f t="shared" si="0"/>
        <v>199</v>
      </c>
      <c r="M2" s="16">
        <f t="shared" si="0"/>
        <v>23</v>
      </c>
      <c r="N2" s="30">
        <f>(F3-F2)/1000</f>
        <v>169.74799999999999</v>
      </c>
      <c r="O2" s="16">
        <f>(G3-G2)</f>
        <v>0</v>
      </c>
      <c r="P2" s="30">
        <f>SUM(J2:O2)</f>
        <v>392.74799999999999</v>
      </c>
      <c r="Q2" s="16">
        <f>(H3-H2)*10</f>
        <v>730</v>
      </c>
      <c r="R2" s="30">
        <f t="shared" ref="R2:R7" si="1">+Q2-P2</f>
        <v>337.25200000000001</v>
      </c>
    </row>
    <row r="3" spans="1:18" x14ac:dyDescent="0.3">
      <c r="A3" s="27">
        <v>46051</v>
      </c>
      <c r="B3" s="28">
        <v>64088</v>
      </c>
      <c r="C3" s="28">
        <v>6955</v>
      </c>
      <c r="D3" s="28">
        <v>86135</v>
      </c>
      <c r="E3" s="28">
        <v>42446</v>
      </c>
      <c r="F3" s="28">
        <v>26292398</v>
      </c>
      <c r="G3" s="28">
        <v>64904</v>
      </c>
      <c r="H3" s="28">
        <v>5274</v>
      </c>
      <c r="J3" s="16">
        <f t="shared" si="0"/>
        <v>0</v>
      </c>
      <c r="K3" s="16">
        <f t="shared" si="0"/>
        <v>6</v>
      </c>
      <c r="L3" s="16">
        <f t="shared" si="0"/>
        <v>32</v>
      </c>
      <c r="M3" s="16">
        <f t="shared" si="0"/>
        <v>8</v>
      </c>
      <c r="N3" s="30">
        <f>(F4-F3)/1000</f>
        <v>230.66200000000001</v>
      </c>
      <c r="O3" s="16">
        <f>(G4-G3)</f>
        <v>0</v>
      </c>
      <c r="P3" s="30">
        <f>SUM(J3:O3)</f>
        <v>276.66200000000003</v>
      </c>
      <c r="Q3" s="16">
        <f>(H4-H3)*10</f>
        <v>620</v>
      </c>
      <c r="R3" s="30">
        <f t="shared" si="1"/>
        <v>343.33799999999997</v>
      </c>
    </row>
    <row r="4" spans="1:18" x14ac:dyDescent="0.3">
      <c r="A4" s="27">
        <v>46052</v>
      </c>
      <c r="B4" s="28">
        <v>64088</v>
      </c>
      <c r="C4" s="28">
        <v>6961</v>
      </c>
      <c r="D4" s="28">
        <v>86167</v>
      </c>
      <c r="E4" s="28">
        <v>42454</v>
      </c>
      <c r="F4" s="28">
        <v>26523060</v>
      </c>
      <c r="G4" s="28">
        <v>64904</v>
      </c>
      <c r="H4" s="28">
        <v>5336</v>
      </c>
      <c r="J4" s="16">
        <f t="shared" si="0"/>
        <v>0</v>
      </c>
      <c r="K4" s="16">
        <f t="shared" si="0"/>
        <v>7</v>
      </c>
      <c r="L4" s="16">
        <f t="shared" si="0"/>
        <v>210</v>
      </c>
      <c r="M4" s="16">
        <f t="shared" si="0"/>
        <v>0</v>
      </c>
      <c r="N4" s="30">
        <f>(F5-F4)/1000</f>
        <v>78.44</v>
      </c>
      <c r="O4" s="16">
        <f>(G5-G4)</f>
        <v>0</v>
      </c>
      <c r="P4" s="30">
        <f>SUM(J4:O4)</f>
        <v>295.44</v>
      </c>
      <c r="Q4" s="16">
        <f>(H5-H4)*10</f>
        <v>670</v>
      </c>
      <c r="R4" s="30">
        <f t="shared" si="1"/>
        <v>374.56</v>
      </c>
    </row>
    <row r="5" spans="1:18" x14ac:dyDescent="0.3">
      <c r="A5" s="27">
        <v>46053</v>
      </c>
      <c r="B5" s="28">
        <v>64088</v>
      </c>
      <c r="C5" s="28">
        <v>6968</v>
      </c>
      <c r="D5" s="28">
        <v>86377</v>
      </c>
      <c r="E5" s="28">
        <v>42454</v>
      </c>
      <c r="F5" s="28">
        <v>26601500</v>
      </c>
      <c r="G5" s="28">
        <v>64904</v>
      </c>
      <c r="H5" s="28">
        <v>5403</v>
      </c>
      <c r="J5" s="16">
        <f t="shared" si="0"/>
        <v>0</v>
      </c>
      <c r="K5" s="16">
        <f t="shared" si="0"/>
        <v>0</v>
      </c>
      <c r="L5" s="16">
        <f t="shared" si="0"/>
        <v>0</v>
      </c>
      <c r="M5" s="16">
        <f t="shared" si="0"/>
        <v>0</v>
      </c>
      <c r="N5" s="30">
        <f>(F6-F5)/1000</f>
        <v>0</v>
      </c>
      <c r="O5" s="16">
        <f>(G6-G5)</f>
        <v>0</v>
      </c>
      <c r="P5" s="30">
        <f>SUM(J5:O5)</f>
        <v>0</v>
      </c>
      <c r="Q5" s="16">
        <f>(H6-H5)*10</f>
        <v>0</v>
      </c>
      <c r="R5" s="30">
        <f t="shared" si="1"/>
        <v>0</v>
      </c>
    </row>
    <row r="6" spans="1:18" x14ac:dyDescent="0.3">
      <c r="A6" s="27">
        <v>46054</v>
      </c>
      <c r="B6" s="28">
        <v>64088</v>
      </c>
      <c r="C6" s="28">
        <v>6968</v>
      </c>
      <c r="D6" s="28">
        <v>86377</v>
      </c>
      <c r="E6" s="28">
        <v>42454</v>
      </c>
      <c r="F6" s="28">
        <v>26601500</v>
      </c>
      <c r="G6" s="28">
        <v>64904</v>
      </c>
      <c r="H6" s="28">
        <v>5403</v>
      </c>
      <c r="J6" s="16">
        <f t="shared" si="0"/>
        <v>0</v>
      </c>
      <c r="K6" s="16">
        <f t="shared" si="0"/>
        <v>4</v>
      </c>
      <c r="L6" s="16">
        <f t="shared" si="0"/>
        <v>207</v>
      </c>
      <c r="M6" s="16">
        <f t="shared" si="0"/>
        <v>126</v>
      </c>
      <c r="N6" s="30">
        <f>(F7-F6)/1000</f>
        <v>146.822</v>
      </c>
      <c r="O6" s="16">
        <f>(G7-G6)</f>
        <v>0</v>
      </c>
      <c r="P6" s="30">
        <f>SUM(J6:O6)</f>
        <v>483.822</v>
      </c>
      <c r="Q6" s="16">
        <f>(H7-H6)*10</f>
        <v>880</v>
      </c>
      <c r="R6" s="30">
        <f t="shared" si="1"/>
        <v>396.178</v>
      </c>
    </row>
    <row r="7" spans="1:18" x14ac:dyDescent="0.3">
      <c r="A7" s="27">
        <v>46055</v>
      </c>
      <c r="B7" s="28">
        <v>64088</v>
      </c>
      <c r="C7" s="28">
        <v>6972</v>
      </c>
      <c r="D7" s="28">
        <v>86584</v>
      </c>
      <c r="E7" s="28">
        <v>42580</v>
      </c>
      <c r="F7" s="28">
        <v>26748322</v>
      </c>
      <c r="G7" s="28">
        <v>64904</v>
      </c>
      <c r="H7" s="28">
        <v>5491</v>
      </c>
      <c r="N7" s="29"/>
      <c r="P7" s="31">
        <f>SUM(P2:P6)</f>
        <v>1448.672</v>
      </c>
      <c r="Q7" s="32">
        <f>SUM(Q2:Q6)</f>
        <v>2900</v>
      </c>
      <c r="R7" s="29">
        <f t="shared" si="1"/>
        <v>1451.328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EFC7-D7E5-434A-B56F-BB60550CC242}">
  <dimension ref="A1:I16"/>
  <sheetViews>
    <sheetView workbookViewId="0">
      <selection activeCell="B13" sqref="B13"/>
    </sheetView>
  </sheetViews>
  <sheetFormatPr baseColWidth="10" defaultRowHeight="14.4" x14ac:dyDescent="0.3"/>
  <cols>
    <col min="1" max="1" width="30.44140625" customWidth="1"/>
    <col min="2" max="3" width="19.109375" customWidth="1"/>
    <col min="4" max="4" width="22" customWidth="1"/>
    <col min="5" max="5" width="19.109375" customWidth="1"/>
    <col min="6" max="7" width="18.77734375" customWidth="1"/>
    <col min="8" max="8" width="18.77734375" hidden="1" customWidth="1"/>
    <col min="9" max="9" width="18.77734375" customWidth="1"/>
  </cols>
  <sheetData>
    <row r="1" spans="1:9" x14ac:dyDescent="0.3">
      <c r="A1" s="10" t="s">
        <v>1</v>
      </c>
      <c r="B1" s="10" t="s">
        <v>2</v>
      </c>
      <c r="D1" s="10" t="s">
        <v>1</v>
      </c>
      <c r="E1" s="10" t="s">
        <v>2</v>
      </c>
    </row>
    <row r="2" spans="1:9" x14ac:dyDescent="0.3">
      <c r="A2" t="s">
        <v>3</v>
      </c>
      <c r="B2" s="11">
        <v>3743</v>
      </c>
      <c r="D2" t="s">
        <v>4</v>
      </c>
      <c r="E2" s="11">
        <v>206773</v>
      </c>
      <c r="F2" t="s">
        <v>5</v>
      </c>
    </row>
    <row r="3" spans="1:9" x14ac:dyDescent="0.3">
      <c r="A3" t="s">
        <v>6</v>
      </c>
      <c r="B3" s="11">
        <f>2286*10</f>
        <v>22860</v>
      </c>
      <c r="D3" t="s">
        <v>7</v>
      </c>
      <c r="E3" s="25">
        <f>+I16</f>
        <v>45.030057115774305</v>
      </c>
      <c r="F3" t="s">
        <v>8</v>
      </c>
    </row>
    <row r="4" spans="1:9" x14ac:dyDescent="0.3">
      <c r="A4" t="s">
        <v>9</v>
      </c>
      <c r="B4" s="11">
        <f>86377-78354</f>
        <v>8023</v>
      </c>
      <c r="D4" t="s">
        <v>10</v>
      </c>
      <c r="E4" s="11">
        <v>11443</v>
      </c>
    </row>
    <row r="5" spans="1:9" x14ac:dyDescent="0.3">
      <c r="A5" t="s">
        <v>11</v>
      </c>
      <c r="B5" s="11">
        <v>381</v>
      </c>
      <c r="D5" t="s">
        <v>12</v>
      </c>
      <c r="E5" s="11">
        <v>5662</v>
      </c>
    </row>
    <row r="6" spans="1:9" x14ac:dyDescent="0.3">
      <c r="A6" t="s">
        <v>13</v>
      </c>
      <c r="B6" s="11">
        <v>29051</v>
      </c>
      <c r="D6" t="s">
        <v>14</v>
      </c>
      <c r="E6" s="11">
        <v>180</v>
      </c>
    </row>
    <row r="7" spans="1:9" x14ac:dyDescent="0.3">
      <c r="A7" t="s">
        <v>15</v>
      </c>
      <c r="B7" s="11">
        <v>26490</v>
      </c>
      <c r="D7" t="s">
        <v>16</v>
      </c>
      <c r="E7" s="11">
        <f>7484-E5</f>
        <v>1822</v>
      </c>
    </row>
    <row r="8" spans="1:9" x14ac:dyDescent="0.3">
      <c r="A8" t="s">
        <v>17</v>
      </c>
      <c r="B8" s="11">
        <v>16476</v>
      </c>
      <c r="D8" t="s">
        <v>18</v>
      </c>
      <c r="E8" s="11">
        <f>11*15</f>
        <v>165</v>
      </c>
    </row>
    <row r="9" spans="1:9" x14ac:dyDescent="0.3">
      <c r="A9" t="s">
        <v>19</v>
      </c>
      <c r="B9" s="11">
        <v>839</v>
      </c>
      <c r="D9" t="s">
        <v>20</v>
      </c>
      <c r="E9" s="11">
        <v>7627</v>
      </c>
    </row>
    <row r="12" spans="1:9" ht="57.6" x14ac:dyDescent="0.3">
      <c r="A12" s="12" t="s">
        <v>21</v>
      </c>
      <c r="B12" s="13" t="s">
        <v>22</v>
      </c>
      <c r="C12" s="14" t="s">
        <v>23</v>
      </c>
      <c r="D12" s="13" t="s">
        <v>24</v>
      </c>
      <c r="E12" s="15" t="s">
        <v>25</v>
      </c>
      <c r="F12" s="14" t="s">
        <v>26</v>
      </c>
      <c r="G12" s="14" t="s">
        <v>27</v>
      </c>
      <c r="H12" s="13" t="s">
        <v>28</v>
      </c>
      <c r="I12" s="24" t="s">
        <v>33</v>
      </c>
    </row>
    <row r="13" spans="1:9" x14ac:dyDescent="0.3">
      <c r="A13" s="16" t="s">
        <v>29</v>
      </c>
      <c r="B13" s="17">
        <f>(B3-B2-E6)+E4+E5</f>
        <v>36042</v>
      </c>
      <c r="C13" s="18">
        <f>(B3-B2-B2-E6)+E5+E4</f>
        <v>32299</v>
      </c>
      <c r="D13" s="17">
        <f>B4+B5+E4+E5+E6</f>
        <v>25689</v>
      </c>
      <c r="E13" s="19">
        <f>B6-E8-E7</f>
        <v>27064</v>
      </c>
      <c r="F13" s="18">
        <f>+B6+B2-E8-E7</f>
        <v>30807</v>
      </c>
      <c r="G13" s="18">
        <f>+B6-E8-E7</f>
        <v>27064</v>
      </c>
      <c r="H13" s="17">
        <f>B7-E8-E7</f>
        <v>24503</v>
      </c>
    </row>
    <row r="14" spans="1:9" x14ac:dyDescent="0.3">
      <c r="A14" s="16" t="s">
        <v>30</v>
      </c>
      <c r="B14" s="17">
        <f t="shared" ref="B14:H14" si="0">+B13-$E$6-$E$5-$E$4</f>
        <v>18757</v>
      </c>
      <c r="C14" s="18">
        <f t="shared" si="0"/>
        <v>15014</v>
      </c>
      <c r="D14" s="17">
        <f t="shared" si="0"/>
        <v>8404</v>
      </c>
      <c r="E14" s="19">
        <f t="shared" si="0"/>
        <v>9779</v>
      </c>
      <c r="F14" s="18">
        <f t="shared" si="0"/>
        <v>13522</v>
      </c>
      <c r="G14" s="18">
        <f t="shared" si="0"/>
        <v>9779</v>
      </c>
      <c r="H14" s="17">
        <f t="shared" si="0"/>
        <v>7218</v>
      </c>
    </row>
    <row r="15" spans="1:9" x14ac:dyDescent="0.3">
      <c r="A15" s="16" t="s">
        <v>31</v>
      </c>
      <c r="B15" s="17">
        <f>+B13-$B$8-$B$9</f>
        <v>18727</v>
      </c>
      <c r="C15" s="18">
        <f>+C13-$B$8-$B$9</f>
        <v>14984</v>
      </c>
      <c r="D15" s="17">
        <f>+D13-$B$8-$B$9</f>
        <v>8374</v>
      </c>
      <c r="E15" s="19">
        <f>+E13-$B$8-$B$9</f>
        <v>9749</v>
      </c>
      <c r="F15" s="18">
        <f>+F13-$B$8-$B$9</f>
        <v>13492</v>
      </c>
      <c r="G15" s="18">
        <f>+G13-$B$8</f>
        <v>10588</v>
      </c>
      <c r="H15" s="17">
        <f>+H13-$B$8-$B$9</f>
        <v>7188</v>
      </c>
      <c r="I15" s="18">
        <v>9311</v>
      </c>
    </row>
    <row r="16" spans="1:9" x14ac:dyDescent="0.3">
      <c r="A16" s="16" t="s">
        <v>32</v>
      </c>
      <c r="B16" s="20">
        <f t="shared" ref="B16:I16" si="1">(B15*1000)/$E$2</f>
        <v>90.567917474718655</v>
      </c>
      <c r="C16" s="21">
        <f t="shared" si="1"/>
        <v>72.465940911047383</v>
      </c>
      <c r="D16" s="20">
        <f t="shared" si="1"/>
        <v>40.498517698152078</v>
      </c>
      <c r="E16" s="22">
        <f t="shared" si="1"/>
        <v>47.148322072997928</v>
      </c>
      <c r="F16" s="21">
        <f t="shared" si="1"/>
        <v>65.2502986366692</v>
      </c>
      <c r="G16" s="23">
        <f t="shared" si="1"/>
        <v>51.205911796994769</v>
      </c>
      <c r="H16" s="23">
        <f t="shared" si="1"/>
        <v>34.762759161012319</v>
      </c>
      <c r="I16" s="23">
        <f t="shared" si="1"/>
        <v>45.030057115774305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8176-9D4C-4739-ABC4-48EA55F850C1}">
  <dimension ref="A1:I16"/>
  <sheetViews>
    <sheetView zoomScale="115" zoomScaleNormal="115" workbookViewId="0">
      <selection sqref="A1:D7"/>
    </sheetView>
  </sheetViews>
  <sheetFormatPr baseColWidth="10" defaultRowHeight="14.4" x14ac:dyDescent="0.3"/>
  <cols>
    <col min="1" max="1" width="25" bestFit="1" customWidth="1"/>
    <col min="2" max="2" width="16.6640625" bestFit="1" customWidth="1"/>
    <col min="9" max="9" width="13" bestFit="1" customWidth="1"/>
  </cols>
  <sheetData>
    <row r="1" spans="1:9" ht="24" customHeight="1" x14ac:dyDescent="0.3">
      <c r="A1" s="115" t="s">
        <v>65</v>
      </c>
      <c r="B1" s="116"/>
      <c r="C1" s="74" t="s">
        <v>64</v>
      </c>
      <c r="D1" s="73" t="s">
        <v>63</v>
      </c>
      <c r="E1" s="74" t="s">
        <v>64</v>
      </c>
      <c r="F1" s="73" t="s">
        <v>63</v>
      </c>
      <c r="G1" s="110" t="s">
        <v>62</v>
      </c>
      <c r="H1" s="110" t="s">
        <v>61</v>
      </c>
    </row>
    <row r="2" spans="1:9" ht="15" thickBot="1" x14ac:dyDescent="0.35">
      <c r="A2" s="117"/>
      <c r="B2" s="118"/>
      <c r="C2" s="119" t="s">
        <v>60</v>
      </c>
      <c r="D2" s="120"/>
      <c r="E2" s="119" t="s">
        <v>59</v>
      </c>
      <c r="F2" s="120"/>
      <c r="G2" s="111"/>
      <c r="H2" s="111"/>
    </row>
    <row r="3" spans="1:9" ht="62.4" thickBot="1" x14ac:dyDescent="0.35">
      <c r="A3" s="72" t="s">
        <v>58</v>
      </c>
      <c r="B3" s="71" t="s">
        <v>57</v>
      </c>
      <c r="C3" s="70">
        <v>25372</v>
      </c>
      <c r="D3" s="69">
        <f>SUM(D4:D7)</f>
        <v>30552</v>
      </c>
      <c r="E3" s="68">
        <v>1</v>
      </c>
      <c r="F3" s="67">
        <v>1</v>
      </c>
      <c r="G3" s="66">
        <v>10077.044706734128</v>
      </c>
      <c r="H3" s="65">
        <f>D3*G3</f>
        <v>307873869.88014108</v>
      </c>
      <c r="I3" s="78">
        <f>+H3/D3</f>
        <v>10077.044706734128</v>
      </c>
    </row>
    <row r="4" spans="1:9" ht="30.6" x14ac:dyDescent="0.3">
      <c r="A4" s="112" t="s">
        <v>56</v>
      </c>
      <c r="B4" s="64" t="s">
        <v>55</v>
      </c>
      <c r="C4" s="63">
        <v>10664</v>
      </c>
      <c r="D4" s="62">
        <v>14663</v>
      </c>
      <c r="E4" s="55">
        <f>C4/$C$3</f>
        <v>0.42030584896736561</v>
      </c>
      <c r="F4" s="54">
        <f>D4/$D$3</f>
        <v>0.47993584708038756</v>
      </c>
      <c r="G4" s="61">
        <v>3409.8686610833647</v>
      </c>
      <c r="H4" s="60">
        <f>D4*G4</f>
        <v>49998904.177465379</v>
      </c>
      <c r="I4" s="77">
        <f>SUM(H4:H7)</f>
        <v>187077634.39368555</v>
      </c>
    </row>
    <row r="5" spans="1:9" ht="30.6" x14ac:dyDescent="0.3">
      <c r="A5" s="113"/>
      <c r="B5" s="59" t="s">
        <v>54</v>
      </c>
      <c r="C5" s="57">
        <v>5275</v>
      </c>
      <c r="D5" s="56">
        <v>5368</v>
      </c>
      <c r="E5" s="55">
        <f>C5/$C$3</f>
        <v>0.20790635346050765</v>
      </c>
      <c r="F5" s="54">
        <f>D5/$D$3</f>
        <v>0.17570044514270752</v>
      </c>
      <c r="G5" s="53">
        <v>4441.3575291021189</v>
      </c>
      <c r="H5" s="52">
        <f>D5*G5</f>
        <v>23841207.216220174</v>
      </c>
      <c r="I5" s="76">
        <f>+I4/D3</f>
        <v>6123.2532859938974</v>
      </c>
    </row>
    <row r="6" spans="1:9" x14ac:dyDescent="0.3">
      <c r="A6" s="113"/>
      <c r="B6" s="58" t="s">
        <v>53</v>
      </c>
      <c r="C6" s="57">
        <v>9266</v>
      </c>
      <c r="D6" s="56">
        <v>10521</v>
      </c>
      <c r="E6" s="55">
        <f>C6/$C$3</f>
        <v>0.36520573860949079</v>
      </c>
      <c r="F6" s="54">
        <f>D6/$D$3</f>
        <v>0.34436370777690495</v>
      </c>
      <c r="G6" s="53">
        <v>10763</v>
      </c>
      <c r="H6" s="52">
        <f>D6*G6</f>
        <v>113237523</v>
      </c>
    </row>
    <row r="7" spans="1:9" ht="15" thickBot="1" x14ac:dyDescent="0.35">
      <c r="A7" s="114"/>
      <c r="B7" s="51" t="s">
        <v>52</v>
      </c>
      <c r="C7" s="50">
        <v>166</v>
      </c>
      <c r="D7" s="49">
        <v>0</v>
      </c>
      <c r="E7" s="48">
        <f>C7/$C$3</f>
        <v>6.5426454359136053E-3</v>
      </c>
      <c r="F7" s="47">
        <f>D7/$D$3</f>
        <v>0</v>
      </c>
      <c r="G7" s="46">
        <v>12700</v>
      </c>
      <c r="H7" s="45">
        <f>D7*G7</f>
        <v>0</v>
      </c>
    </row>
    <row r="8" spans="1:9" x14ac:dyDescent="0.3">
      <c r="H8" s="75">
        <f>SUM(H3:H7)</f>
        <v>494951504.27382666</v>
      </c>
      <c r="I8" s="76">
        <f>+H8/D3</f>
        <v>16200.297992728027</v>
      </c>
    </row>
    <row r="9" spans="1:9" ht="15" thickBot="1" x14ac:dyDescent="0.35"/>
    <row r="10" spans="1:9" ht="21.6" thickBot="1" x14ac:dyDescent="0.45">
      <c r="A10" s="44"/>
      <c r="B10" s="43" t="s">
        <v>51</v>
      </c>
      <c r="C10" s="42" t="s">
        <v>50</v>
      </c>
      <c r="D10" s="40"/>
    </row>
    <row r="11" spans="1:9" x14ac:dyDescent="0.3">
      <c r="A11" s="38" t="s">
        <v>49</v>
      </c>
      <c r="B11" s="35">
        <v>15280</v>
      </c>
      <c r="C11" s="41">
        <f>+C12+C13+C14</f>
        <v>1</v>
      </c>
      <c r="D11" s="40"/>
    </row>
    <row r="12" spans="1:9" x14ac:dyDescent="0.3">
      <c r="A12" s="38" t="s">
        <v>48</v>
      </c>
      <c r="B12" s="35">
        <v>8364</v>
      </c>
      <c r="C12" s="37">
        <f>B12/B11</f>
        <v>0.54738219895287954</v>
      </c>
    </row>
    <row r="13" spans="1:9" x14ac:dyDescent="0.3">
      <c r="A13" s="38" t="s">
        <v>47</v>
      </c>
      <c r="B13" s="35">
        <v>4797</v>
      </c>
      <c r="C13" s="37">
        <f>B13/$B$11</f>
        <v>0.31393979057591626</v>
      </c>
    </row>
    <row r="14" spans="1:9" x14ac:dyDescent="0.3">
      <c r="A14" s="38" t="s">
        <v>46</v>
      </c>
      <c r="B14" s="35">
        <v>2119</v>
      </c>
      <c r="C14" s="37">
        <f>B14/$B$11</f>
        <v>0.13867801047120418</v>
      </c>
      <c r="D14" s="39">
        <v>1</v>
      </c>
    </row>
    <row r="15" spans="1:9" x14ac:dyDescent="0.3">
      <c r="A15" s="38" t="s">
        <v>45</v>
      </c>
      <c r="B15" s="35">
        <v>6810</v>
      </c>
      <c r="C15" s="37"/>
      <c r="D15" s="33">
        <v>0.82564687647549395</v>
      </c>
    </row>
    <row r="16" spans="1:9" ht="15" thickBot="1" x14ac:dyDescent="0.35">
      <c r="A16" s="36" t="s">
        <v>44</v>
      </c>
      <c r="B16" s="35">
        <v>1554</v>
      </c>
      <c r="C16" s="34"/>
      <c r="D16" s="33">
        <v>0.17435312352450624</v>
      </c>
    </row>
  </sheetData>
  <mergeCells count="6">
    <mergeCell ref="H1:H2"/>
    <mergeCell ref="A4:A7"/>
    <mergeCell ref="A1:B2"/>
    <mergeCell ref="C2:D2"/>
    <mergeCell ref="E2:F2"/>
    <mergeCell ref="G1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49AB-F30A-44B8-BC4E-57B516FEEB8D}">
  <dimension ref="A1:K22"/>
  <sheetViews>
    <sheetView zoomScaleNormal="100" workbookViewId="0">
      <selection activeCell="L9" sqref="L9"/>
    </sheetView>
  </sheetViews>
  <sheetFormatPr baseColWidth="10" defaultRowHeight="14.4" x14ac:dyDescent="0.3"/>
  <cols>
    <col min="1" max="1" width="20.109375" style="1" customWidth="1"/>
    <col min="2" max="2" width="11.5546875" style="1"/>
    <col min="3" max="3" width="12.33203125" style="1" bestFit="1" customWidth="1"/>
    <col min="4" max="4" width="11.77734375" style="1" bestFit="1" customWidth="1"/>
    <col min="5" max="8" width="11.5546875" style="1"/>
    <col min="9" max="9" width="14.109375" style="1" bestFit="1" customWidth="1"/>
    <col min="10" max="10" width="15.6640625" style="1" bestFit="1" customWidth="1"/>
    <col min="11" max="16384" width="11.5546875" style="1"/>
  </cols>
  <sheetData>
    <row r="1" spans="1:11" ht="15" thickBot="1" x14ac:dyDescent="0.35">
      <c r="A1" s="121" t="s">
        <v>74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11" x14ac:dyDescent="0.3">
      <c r="A2" s="124" t="s">
        <v>73</v>
      </c>
      <c r="B2" s="126" t="s">
        <v>67</v>
      </c>
      <c r="C2" s="127"/>
      <c r="D2" s="128"/>
      <c r="E2" s="126" t="s">
        <v>68</v>
      </c>
      <c r="F2" s="127"/>
      <c r="G2" s="128"/>
      <c r="H2" s="126" t="s">
        <v>69</v>
      </c>
      <c r="I2" s="127"/>
      <c r="J2" s="128"/>
    </row>
    <row r="3" spans="1:11" ht="15" thickBot="1" x14ac:dyDescent="0.35">
      <c r="A3" s="125"/>
      <c r="B3" s="79" t="s">
        <v>70</v>
      </c>
      <c r="C3" s="80" t="s">
        <v>71</v>
      </c>
      <c r="D3" s="81" t="s">
        <v>72</v>
      </c>
      <c r="E3" s="79" t="s">
        <v>70</v>
      </c>
      <c r="F3" s="80" t="s">
        <v>71</v>
      </c>
      <c r="G3" s="81" t="s">
        <v>72</v>
      </c>
      <c r="H3" s="79" t="s">
        <v>70</v>
      </c>
      <c r="I3" s="80" t="s">
        <v>71</v>
      </c>
      <c r="J3" s="81" t="s">
        <v>72</v>
      </c>
    </row>
    <row r="4" spans="1:11" ht="30.6" x14ac:dyDescent="0.3">
      <c r="A4" s="82" t="s">
        <v>55</v>
      </c>
      <c r="B4" s="83">
        <v>11443</v>
      </c>
      <c r="C4" s="84">
        <f>+B4*D4</f>
        <v>38974858</v>
      </c>
      <c r="D4" s="87">
        <v>3406</v>
      </c>
      <c r="E4" s="83">
        <v>11281</v>
      </c>
      <c r="F4" s="84">
        <f>+E4*G4</f>
        <v>38423086</v>
      </c>
      <c r="G4" s="87">
        <v>3406</v>
      </c>
      <c r="H4" s="83">
        <v>14663</v>
      </c>
      <c r="I4" s="84">
        <f>+H4*J4</f>
        <v>49942178</v>
      </c>
      <c r="J4" s="87">
        <v>3406</v>
      </c>
    </row>
    <row r="5" spans="1:11" ht="20.399999999999999" x14ac:dyDescent="0.3">
      <c r="A5" s="85" t="s">
        <v>54</v>
      </c>
      <c r="B5" s="86">
        <v>56662</v>
      </c>
      <c r="C5" s="84">
        <f>+B5*D5</f>
        <v>272260910</v>
      </c>
      <c r="D5" s="87">
        <v>4805</v>
      </c>
      <c r="E5" s="86">
        <v>4456</v>
      </c>
      <c r="F5" s="84">
        <f>+E5*G5</f>
        <v>21411080</v>
      </c>
      <c r="G5" s="87">
        <v>4805</v>
      </c>
      <c r="H5" s="86">
        <v>5368</v>
      </c>
      <c r="I5" s="84">
        <f>+H5*J5</f>
        <v>25793240</v>
      </c>
      <c r="J5" s="87">
        <v>4805</v>
      </c>
    </row>
    <row r="6" spans="1:11" x14ac:dyDescent="0.3">
      <c r="A6" s="88" t="s">
        <v>53</v>
      </c>
      <c r="B6" s="86">
        <v>9944</v>
      </c>
      <c r="C6" s="84">
        <f>+B6*D6</f>
        <v>107027272</v>
      </c>
      <c r="D6" s="87">
        <v>10763</v>
      </c>
      <c r="E6" s="86">
        <v>10099</v>
      </c>
      <c r="F6" s="84">
        <f>+E6*G6</f>
        <v>108695537</v>
      </c>
      <c r="G6" s="87">
        <v>10763</v>
      </c>
      <c r="H6" s="86">
        <v>10521</v>
      </c>
      <c r="I6" s="84">
        <f>+H6*J6</f>
        <v>113237523</v>
      </c>
      <c r="J6" s="87">
        <v>10763</v>
      </c>
    </row>
    <row r="7" spans="1:11" ht="15" thickBot="1" x14ac:dyDescent="0.35">
      <c r="A7" s="89" t="s">
        <v>52</v>
      </c>
      <c r="B7" s="90">
        <v>180</v>
      </c>
      <c r="C7" s="91">
        <f>+B7*D7</f>
        <v>2286000</v>
      </c>
      <c r="D7" s="92">
        <v>12700</v>
      </c>
      <c r="E7" s="90">
        <v>308</v>
      </c>
      <c r="F7" s="91">
        <f>+E7*G7</f>
        <v>3911600</v>
      </c>
      <c r="G7" s="92">
        <v>12700</v>
      </c>
      <c r="H7" s="90">
        <v>0</v>
      </c>
      <c r="I7" s="91">
        <f>+H7*J7</f>
        <v>0</v>
      </c>
      <c r="J7" s="92">
        <v>12700</v>
      </c>
    </row>
    <row r="8" spans="1:11" x14ac:dyDescent="0.3">
      <c r="A8" s="95" t="s">
        <v>77</v>
      </c>
      <c r="B8" s="96"/>
      <c r="C8" s="97"/>
      <c r="D8" s="97"/>
      <c r="E8" s="96"/>
      <c r="F8" s="97"/>
      <c r="G8" s="97"/>
      <c r="H8" s="96">
        <v>32829</v>
      </c>
      <c r="I8" s="97">
        <f>+H8*J8</f>
        <v>330489543</v>
      </c>
      <c r="J8" s="97">
        <v>10067</v>
      </c>
    </row>
    <row r="9" spans="1:11" x14ac:dyDescent="0.3">
      <c r="A9" s="95" t="s">
        <v>78</v>
      </c>
      <c r="H9" s="96">
        <f>SUM(H4:H7)</f>
        <v>30552</v>
      </c>
      <c r="I9" s="97">
        <f>SUM(I4:I7)</f>
        <v>188972941</v>
      </c>
      <c r="J9" s="97">
        <f>+I9/H9</f>
        <v>6185.2887208693373</v>
      </c>
    </row>
    <row r="10" spans="1:11" x14ac:dyDescent="0.3">
      <c r="I10" s="98"/>
      <c r="J10" s="97">
        <f>+J9+J8</f>
        <v>16252.288720869337</v>
      </c>
    </row>
    <row r="11" spans="1:11" x14ac:dyDescent="0.3">
      <c r="I11" s="98"/>
      <c r="J11" s="97">
        <v>18355</v>
      </c>
      <c r="K11" s="1" t="s">
        <v>79</v>
      </c>
    </row>
    <row r="12" spans="1:11" x14ac:dyDescent="0.3">
      <c r="I12" s="98"/>
      <c r="J12" s="97">
        <v>2209107600</v>
      </c>
    </row>
    <row r="13" spans="1:11" x14ac:dyDescent="0.3">
      <c r="I13" s="98"/>
      <c r="J13" s="97">
        <v>2414150177</v>
      </c>
    </row>
    <row r="14" spans="1:11" x14ac:dyDescent="0.3">
      <c r="I14" s="98"/>
      <c r="J14" s="97">
        <v>92876663</v>
      </c>
    </row>
    <row r="15" spans="1:11" x14ac:dyDescent="0.3">
      <c r="H15" s="100" t="s">
        <v>5</v>
      </c>
      <c r="I15" s="99">
        <v>360000</v>
      </c>
      <c r="J15" s="97">
        <f>+J14+J13+J12</f>
        <v>4716134440</v>
      </c>
    </row>
    <row r="16" spans="1:11" x14ac:dyDescent="0.3">
      <c r="I16" s="98"/>
      <c r="J16" s="97">
        <f>+J15/I15</f>
        <v>13100.373444444445</v>
      </c>
      <c r="K16" s="1" t="s">
        <v>79</v>
      </c>
    </row>
    <row r="17" spans="1:10" ht="15" thickBot="1" x14ac:dyDescent="0.35">
      <c r="I17" s="98"/>
      <c r="J17" s="98"/>
    </row>
    <row r="18" spans="1:10" ht="15" thickBot="1" x14ac:dyDescent="0.35">
      <c r="A18" s="121" t="s">
        <v>75</v>
      </c>
      <c r="B18" s="122"/>
      <c r="C18" s="122"/>
      <c r="D18" s="122"/>
      <c r="E18" s="122"/>
      <c r="F18" s="122"/>
      <c r="G18" s="122"/>
      <c r="H18" s="122"/>
      <c r="I18" s="122"/>
      <c r="J18" s="123"/>
    </row>
    <row r="19" spans="1:10" x14ac:dyDescent="0.3">
      <c r="A19" s="124" t="s">
        <v>73</v>
      </c>
      <c r="B19" s="126" t="s">
        <v>67</v>
      </c>
      <c r="C19" s="127"/>
      <c r="D19" s="128"/>
      <c r="E19" s="126" t="s">
        <v>68</v>
      </c>
      <c r="F19" s="127"/>
      <c r="G19" s="128"/>
      <c r="H19" s="126" t="s">
        <v>69</v>
      </c>
      <c r="I19" s="127"/>
      <c r="J19" s="128"/>
    </row>
    <row r="20" spans="1:10" ht="15" thickBot="1" x14ac:dyDescent="0.35">
      <c r="A20" s="125"/>
      <c r="B20" s="79" t="s">
        <v>70</v>
      </c>
      <c r="C20" s="80" t="s">
        <v>71</v>
      </c>
      <c r="D20" s="81" t="s">
        <v>72</v>
      </c>
      <c r="E20" s="79" t="s">
        <v>70</v>
      </c>
      <c r="F20" s="80" t="s">
        <v>71</v>
      </c>
      <c r="G20" s="81" t="s">
        <v>72</v>
      </c>
      <c r="H20" s="79" t="s">
        <v>70</v>
      </c>
      <c r="I20" s="80" t="s">
        <v>71</v>
      </c>
      <c r="J20" s="81" t="s">
        <v>72</v>
      </c>
    </row>
    <row r="21" spans="1:10" ht="20.399999999999999" x14ac:dyDescent="0.3">
      <c r="A21" s="85" t="s">
        <v>76</v>
      </c>
      <c r="B21" s="86">
        <v>358</v>
      </c>
      <c r="C21" s="84">
        <f>+B21*D21</f>
        <v>872446</v>
      </c>
      <c r="D21" s="87">
        <v>2437</v>
      </c>
      <c r="E21" s="86">
        <v>0</v>
      </c>
      <c r="F21" s="93">
        <v>0</v>
      </c>
      <c r="G21" s="87">
        <v>0</v>
      </c>
      <c r="H21" s="86">
        <v>913</v>
      </c>
      <c r="I21" s="84">
        <f>+H21*J21</f>
        <v>343288</v>
      </c>
      <c r="J21" s="87">
        <v>376</v>
      </c>
    </row>
    <row r="22" spans="1:10" ht="15" thickBot="1" x14ac:dyDescent="0.35">
      <c r="A22" s="89" t="s">
        <v>52</v>
      </c>
      <c r="B22" s="90">
        <v>0</v>
      </c>
      <c r="C22" s="94">
        <v>0</v>
      </c>
      <c r="D22" s="92">
        <v>12700</v>
      </c>
      <c r="E22" s="90">
        <v>0</v>
      </c>
      <c r="F22" s="94">
        <v>0</v>
      </c>
      <c r="G22" s="92">
        <v>12700</v>
      </c>
      <c r="H22" s="90">
        <v>0</v>
      </c>
      <c r="I22" s="94">
        <v>0</v>
      </c>
      <c r="J22" s="92">
        <v>12700</v>
      </c>
    </row>
  </sheetData>
  <mergeCells count="10">
    <mergeCell ref="A1:J1"/>
    <mergeCell ref="A18:J18"/>
    <mergeCell ref="A19:A20"/>
    <mergeCell ref="B19:D19"/>
    <mergeCell ref="E19:G19"/>
    <mergeCell ref="H19:J19"/>
    <mergeCell ref="A2:A3"/>
    <mergeCell ref="B2:D2"/>
    <mergeCell ref="E2:G2"/>
    <mergeCell ref="H2:J2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DF4A-9F8B-4F14-8FBE-374853760528}">
  <dimension ref="A1:N19"/>
  <sheetViews>
    <sheetView topLeftCell="A5" zoomScale="85" zoomScaleNormal="85" workbookViewId="0">
      <selection activeCell="O4" sqref="O4"/>
    </sheetView>
  </sheetViews>
  <sheetFormatPr baseColWidth="10" defaultRowHeight="14.4" x14ac:dyDescent="0.3"/>
  <cols>
    <col min="14" max="14" width="6.44140625" customWidth="1"/>
  </cols>
  <sheetData>
    <row r="1" spans="1:14" ht="21" x14ac:dyDescent="0.4">
      <c r="A1" s="101" t="s">
        <v>66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3"/>
    </row>
    <row r="2" spans="1:14" x14ac:dyDescent="0.3">
      <c r="A2" s="104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x14ac:dyDescent="0.3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</row>
    <row r="4" spans="1:14" ht="49.8" customHeigh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49.8" customHeight="1" x14ac:dyDescent="0.3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 spans="1:14" ht="49.8" customHeight="1" x14ac:dyDescent="0.3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 spans="1:14" ht="49.8" customHeight="1" x14ac:dyDescent="0.3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 spans="1:14" ht="49.8" customHeight="1" x14ac:dyDescent="0.3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 spans="1:14" ht="49.8" customHeight="1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ht="49.8" customHeight="1" x14ac:dyDescent="0.3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 spans="1:14" ht="49.8" customHeight="1" x14ac:dyDescent="0.3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 spans="1:14" ht="65.400000000000006" customHeight="1" x14ac:dyDescent="0.3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 spans="1:14" ht="65.400000000000006" customHeight="1" x14ac:dyDescent="0.3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 spans="1:14" ht="65.400000000000006" customHeight="1" x14ac:dyDescent="0.3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</row>
    <row r="15" spans="1:14" ht="42" customHeight="1" x14ac:dyDescent="0.3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</row>
    <row r="16" spans="1:14" ht="49.8" customHeight="1" x14ac:dyDescent="0.3"/>
    <row r="17" ht="49.8" customHeight="1" x14ac:dyDescent="0.3"/>
    <row r="18" ht="49.8" customHeight="1" x14ac:dyDescent="0.3"/>
    <row r="19" ht="49.8" customHeight="1" x14ac:dyDescent="0.3"/>
  </sheetData>
  <mergeCells count="2">
    <mergeCell ref="A1:N1"/>
    <mergeCell ref="A2:N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8C82-D597-43EF-BC6B-7E2317F79663}">
  <dimension ref="A1:N18"/>
  <sheetViews>
    <sheetView tabSelected="1" topLeftCell="A10" zoomScale="85" zoomScaleNormal="85" workbookViewId="0">
      <selection sqref="A1:N14"/>
    </sheetView>
  </sheetViews>
  <sheetFormatPr baseColWidth="10" defaultRowHeight="14.4" x14ac:dyDescent="0.3"/>
  <cols>
    <col min="14" max="14" width="6.44140625" customWidth="1"/>
  </cols>
  <sheetData>
    <row r="1" spans="1:14" ht="21" x14ac:dyDescent="0.4">
      <c r="A1" s="101" t="s">
        <v>80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3"/>
    </row>
    <row r="2" spans="1:14" x14ac:dyDescent="0.3">
      <c r="A2" s="104" t="s">
        <v>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x14ac:dyDescent="0.3">
      <c r="A3" s="10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</row>
    <row r="4" spans="1:14" ht="49.8" customHeigh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49.8" customHeight="1" x14ac:dyDescent="0.3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 spans="1:14" ht="49.8" customHeight="1" x14ac:dyDescent="0.3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 spans="1:14" ht="49.8" customHeight="1" x14ac:dyDescent="0.3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 spans="1:14" ht="49.8" customHeight="1" x14ac:dyDescent="0.3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 spans="1:14" ht="49.8" customHeight="1" x14ac:dyDescent="0.3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ht="49.8" customHeight="1" x14ac:dyDescent="0.3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 spans="1:14" ht="49.8" customHeight="1" x14ac:dyDescent="0.3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 spans="1:14" ht="49.8" customHeight="1" x14ac:dyDescent="0.3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 spans="1:14" ht="49.8" customHeight="1" x14ac:dyDescent="0.3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 spans="1:14" ht="49.8" customHeight="1" x14ac:dyDescent="0.3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</row>
    <row r="15" spans="1:14" ht="49.8" customHeight="1" x14ac:dyDescent="0.3"/>
    <row r="16" spans="1:14" ht="49.8" customHeight="1" x14ac:dyDescent="0.3"/>
    <row r="17" ht="49.8" customHeight="1" x14ac:dyDescent="0.3"/>
    <row r="18" ht="49.8" customHeight="1" x14ac:dyDescent="0.3"/>
  </sheetData>
  <mergeCells count="2">
    <mergeCell ref="A1:N1"/>
    <mergeCell ref="A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MEDIDORES</vt:lpstr>
      <vt:lpstr>METODOS</vt:lpstr>
      <vt:lpstr>TABLA PROYECCION</vt:lpstr>
      <vt:lpstr>Hoja1</vt:lpstr>
      <vt:lpstr>kpi (2)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2026-01-14T14:08:48Z</dcterms:created>
  <dcterms:modified xsi:type="dcterms:W3CDTF">2026-04-16T18:16:58Z</dcterms:modified>
</cp:coreProperties>
</file>